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770" activeTab="0"/>
  </bookViews>
  <sheets>
    <sheet name="прил 1 " sheetId="1" r:id="rId1"/>
    <sheet name="прил 2" sheetId="2" r:id="rId2"/>
    <sheet name="прил 3 (1 прогр)" sheetId="3" r:id="rId3"/>
    <sheet name="прил 3 (2 прогр)" sheetId="4" r:id="rId4"/>
    <sheet name="прил 3(3 прогр)" sheetId="5" r:id="rId5"/>
    <sheet name="прил 3 (4 прогр)" sheetId="6" r:id="rId6"/>
    <sheet name="прил 4-1" sheetId="7" r:id="rId7"/>
    <sheet name="прил 4-2" sheetId="8" r:id="rId8"/>
  </sheets>
  <definedNames>
    <definedName name="_Toc292517054" localSheetId="1">'прил 2'!$A$4</definedName>
    <definedName name="_Toc292517054" localSheetId="2">'прил 3 (1 прогр)'!$A$6</definedName>
    <definedName name="_Toc292517054" localSheetId="3">'прил 3 (2 прогр)'!$A$4</definedName>
    <definedName name="_Toc292517054" localSheetId="5">'прил 3 (4 прогр)'!$A$4</definedName>
    <definedName name="_xlnm.Print_Titles" localSheetId="0">'прил 1 '!$6:$8</definedName>
    <definedName name="_xlnm.Print_Area" localSheetId="1">'прил 2'!$A$1:$N$49</definedName>
  </definedNames>
  <calcPr fullCalcOnLoad="1"/>
</workbook>
</file>

<file path=xl/sharedStrings.xml><?xml version="1.0" encoding="utf-8"?>
<sst xmlns="http://schemas.openxmlformats.org/spreadsheetml/2006/main" count="2914" uniqueCount="534">
  <si>
    <t>Форма</t>
  </si>
  <si>
    <t>Приложение 1                                                                                              к Инструкции о порядке формирования, рассмотрения и исполнения cреднесрочных стратегий бюджетных расходов</t>
  </si>
  <si>
    <t>Структура бюджетных программ и мер ССБР по сектору Здравоохранение на 2019 - 2021 г.г.</t>
  </si>
  <si>
    <r>
      <t xml:space="preserve">Главный распорядитель: </t>
    </r>
    <r>
      <rPr>
        <b/>
        <sz val="10"/>
        <rFont val="Arial"/>
        <family val="2"/>
      </rPr>
      <t>Министерство здравоохранения Кыргызской Республики</t>
    </r>
  </si>
  <si>
    <t>Код ПР</t>
  </si>
  <si>
    <t>Код МЕ</t>
  </si>
  <si>
    <t>Код ИН</t>
  </si>
  <si>
    <t>Бюджетные программы/
Бюджетные меры</t>
  </si>
  <si>
    <t>Менеджер Программы</t>
  </si>
  <si>
    <t>Ответственное Ведомство /
Подразделение</t>
  </si>
  <si>
    <t>Соисполнитель</t>
  </si>
  <si>
    <t>Финансирование (по программам/мерам) (тыс.сом)</t>
  </si>
  <si>
    <t>Индикаторы результативности</t>
  </si>
  <si>
    <t>Ед. изм-я</t>
  </si>
  <si>
    <t>Базовый год</t>
  </si>
  <si>
    <t>Целевые значения</t>
  </si>
  <si>
    <t>2017г.</t>
  </si>
  <si>
    <t>2018г.</t>
  </si>
  <si>
    <t>2019г.</t>
  </si>
  <si>
    <t>2020г.</t>
  </si>
  <si>
    <t>2021г.</t>
  </si>
  <si>
    <t>2022г.</t>
  </si>
  <si>
    <r>
      <t xml:space="preserve">Планирование, управление и администрирование                                                                                                                              
</t>
    </r>
    <r>
      <rPr>
        <b/>
        <i/>
        <sz val="14"/>
        <rFont val="Arial"/>
        <family val="2"/>
      </rPr>
      <t>Цели программы: Координирующее и организационное воздействие на реализацию других программ</t>
    </r>
  </si>
  <si>
    <t>МЗ КР</t>
  </si>
  <si>
    <t>Центральный аппарат</t>
  </si>
  <si>
    <t>Показатель  младенческой смертности на 1000 живорожденных</t>
  </si>
  <si>
    <t xml:space="preserve"> случаев на 1000 живорожденных</t>
  </si>
  <si>
    <t>не более 16,2</t>
  </si>
  <si>
    <t>Показатель материнской смертности на 100 тыс. живорожденных</t>
  </si>
  <si>
    <t xml:space="preserve"> случаев на 100 тыс.живорожденных</t>
  </si>
  <si>
    <t>не более 30,0</t>
  </si>
  <si>
    <t xml:space="preserve">Коэффициент детской смертности </t>
  </si>
  <si>
    <t>не более 18,0</t>
  </si>
  <si>
    <t>Смертность от болезней системы кровообращения</t>
  </si>
  <si>
    <t>на 100 тыс.населения</t>
  </si>
  <si>
    <t>Обеспечение общего руководства</t>
  </si>
  <si>
    <t>НСК КР</t>
  </si>
  <si>
    <t xml:space="preserve">Индекс доверия населения </t>
  </si>
  <si>
    <t>процент</t>
  </si>
  <si>
    <t>Обеспечение финансового менеджмента и учета</t>
  </si>
  <si>
    <t>УФП</t>
  </si>
  <si>
    <t>МФ КР</t>
  </si>
  <si>
    <t>Удельный вес  расходов на здравоохранения  от общих государственных расходов</t>
  </si>
  <si>
    <r>
      <rPr>
        <sz val="14"/>
        <rFont val="Calibri"/>
        <family val="2"/>
      </rPr>
      <t>≥</t>
    </r>
    <r>
      <rPr>
        <sz val="14"/>
        <rFont val="Arial"/>
        <family val="2"/>
      </rPr>
      <t>13</t>
    </r>
  </si>
  <si>
    <t>≥13</t>
  </si>
  <si>
    <t>Индекс отклонения бюджета</t>
  </si>
  <si>
    <r>
      <rPr>
        <sz val="14"/>
        <rFont val="Calibri"/>
        <family val="2"/>
      </rPr>
      <t>≤</t>
    </r>
    <r>
      <rPr>
        <sz val="14"/>
        <rFont val="Arial"/>
        <family val="2"/>
      </rPr>
      <t xml:space="preserve"> 5</t>
    </r>
  </si>
  <si>
    <t>Управление человеческими ресурсами и организационной работы</t>
  </si>
  <si>
    <t>УЧРиОР</t>
  </si>
  <si>
    <t>МФКР</t>
  </si>
  <si>
    <t>Исполнительская дисциплина в МЗ</t>
  </si>
  <si>
    <t>кол</t>
  </si>
  <si>
    <t>Правовая поддержка</t>
  </si>
  <si>
    <t>Юридический отдел</t>
  </si>
  <si>
    <t>ЮО</t>
  </si>
  <si>
    <t>Отношение выигранных судебных дел к общему  количеству</t>
  </si>
  <si>
    <t>31\5</t>
  </si>
  <si>
    <t>Организация деятельности и службы обеспечения</t>
  </si>
  <si>
    <t>Отдел организации закупок,
ТОП,МОП</t>
  </si>
  <si>
    <t>Доля сотрудников служб обеспечения от общей численности сотрудников  ЦА  МЗ</t>
  </si>
  <si>
    <t>%</t>
  </si>
  <si>
    <t>Обеспечение внутреннего мониторинга и контроля (службa внутреннего аудита)</t>
  </si>
  <si>
    <t>ОВА</t>
  </si>
  <si>
    <t xml:space="preserve">Количество проведенных заседаний комиссии по противодействию коррупции </t>
  </si>
  <si>
    <t>кол-во</t>
  </si>
  <si>
    <t>не менее 2</t>
  </si>
  <si>
    <t xml:space="preserve">Обеспечение мониторинга,  анализа и стратегического планирования сектора здравоохранения </t>
  </si>
  <si>
    <t>УСПиРПЗ</t>
  </si>
  <si>
    <t>ЦЭЗ</t>
  </si>
  <si>
    <t>ед. изм-я</t>
  </si>
  <si>
    <t>Соотношение выполненных мероприятий в рамках реализации Программы здоровье до 2030 года к их общему количеству</t>
  </si>
  <si>
    <t>Внедрение электронного здравоохранения</t>
  </si>
  <si>
    <t>ЦЭЗ,
ОМИЦ</t>
  </si>
  <si>
    <t>УОМПиЛП</t>
  </si>
  <si>
    <t xml:space="preserve">Количество ОЗ в которых внедрено электронное здравоохранение </t>
  </si>
  <si>
    <t>Лицензирование частной медицинской деятельности</t>
  </si>
  <si>
    <t>ОЛМФУ</t>
  </si>
  <si>
    <t>Количество учреждений получивших лицензию на предоставление медико-профилактических услуг</t>
  </si>
  <si>
    <t>Количество лицензий</t>
  </si>
  <si>
    <t>Социально-культурное обеспечение медработников</t>
  </si>
  <si>
    <t>детсад, библиотеки</t>
  </si>
  <si>
    <t>Количество пользователей библиотек</t>
  </si>
  <si>
    <t xml:space="preserve">Библиотечный фонд (всего) </t>
  </si>
  <si>
    <t>ед</t>
  </si>
  <si>
    <t xml:space="preserve">Библиотечный фонд электронной библиотеки </t>
  </si>
  <si>
    <t>Количество мест в детстком саде</t>
  </si>
  <si>
    <t>002</t>
  </si>
  <si>
    <r>
      <rPr>
        <b/>
        <sz val="14"/>
        <rFont val="Arial"/>
        <family val="2"/>
      </rPr>
      <t xml:space="preserve">Общественное здравоохранение
</t>
    </r>
    <r>
      <rPr>
        <i/>
        <sz val="14"/>
        <rFont val="Arial"/>
        <family val="2"/>
      </rPr>
      <t xml:space="preserve">Цель программы: </t>
    </r>
    <r>
      <rPr>
        <b/>
        <i/>
        <sz val="14"/>
        <rFont val="Arial"/>
        <family val="2"/>
      </rPr>
      <t>Организация и выполнение профилактических и противоэпидемиологических мероприятий по борьбе с инфекциями, паразитарными инфекционными заболеваниями</t>
    </r>
  </si>
  <si>
    <t>по факту</t>
  </si>
  <si>
    <t xml:space="preserve">количество разработанных и утвержденных НПА в реализацию Закона "Об общественном здравоохранении" </t>
  </si>
  <si>
    <t>01</t>
  </si>
  <si>
    <t xml:space="preserve">Профилактические меры по обеспечению безопасности здоровья человека(пищевой продукции, воды, воздуха в помещениях, радиационного фона) </t>
  </si>
  <si>
    <t>УОЗ МЗ</t>
  </si>
  <si>
    <t>ДПЗиГСЭН, ЦПЗиГСЭН,
СЭС КЖД</t>
  </si>
  <si>
    <t>Аккредитация  лабораторий по ISO 17025, ISO 15189-2009 (всего 49 лабораторий)</t>
  </si>
  <si>
    <t>Шт.</t>
  </si>
  <si>
    <t>количество внедренных новых методов лабораторных испытаний</t>
  </si>
  <si>
    <t>Количество методов</t>
  </si>
  <si>
    <t>Заболеваемость бруцулезом</t>
  </si>
  <si>
    <t>показатель на 100 тыс.населения</t>
  </si>
  <si>
    <t>Заболеваемость населения вирусными гепатитами</t>
  </si>
  <si>
    <t>заболеваемость острыми кишечными инфекциями</t>
  </si>
  <si>
    <t>02</t>
  </si>
  <si>
    <t xml:space="preserve">Политика иммунизации населения </t>
  </si>
  <si>
    <t>РЦИ,
облрайгор. ЦСМ</t>
  </si>
  <si>
    <t>Доля детей до   2 лет охваченных  вакцинным комплексом</t>
  </si>
  <si>
    <t>Процент</t>
  </si>
  <si>
    <t>не менее 95%</t>
  </si>
  <si>
    <t>РЦКиООИ, 
ДПЗиГСЭН</t>
  </si>
  <si>
    <t>Доля вакцинированных лиц по эпидемиологическим показаниям (от бешенства, чумы, клещевого вирусного энцефалита)</t>
  </si>
  <si>
    <t xml:space="preserve">не менее 90% от подлежащего контингента </t>
  </si>
  <si>
    <t>03</t>
  </si>
  <si>
    <t>Информационная работа с населением по вопросам укрепления здоровья</t>
  </si>
  <si>
    <t>РЦУЗ</t>
  </si>
  <si>
    <t>Человек</t>
  </si>
  <si>
    <t>Количество обученных завучей по воспитательной работе школ</t>
  </si>
  <si>
    <t>Количество ежегодно проведенных кампаний по вопросам здоровья среди населения страны</t>
  </si>
  <si>
    <t>раз</t>
  </si>
  <si>
    <t>Количество выездов КУЗ в 1600 сел для обучения СКЗ в год</t>
  </si>
  <si>
    <t>04</t>
  </si>
  <si>
    <t>Профилактика, диагностика, лечение и уход при ВИЧ-инфекции</t>
  </si>
  <si>
    <t>РЦ СПИД,
ОГЦПБС</t>
  </si>
  <si>
    <t xml:space="preserve">Число новых случаев ВИЧ </t>
  </si>
  <si>
    <t xml:space="preserve">на 100 тыс. населения </t>
  </si>
  <si>
    <t>Доля беременных женщин, прошедших полное консультирование и тестирование на ВИЧ-инфекцию и знающих свои результаты</t>
  </si>
  <si>
    <t>Доля ЛЖВ, знающих свой статус и получающих АРТ</t>
  </si>
  <si>
    <t>05</t>
  </si>
  <si>
    <t>Предоставление комплексного пакета услуг по профилактике, уходу и поддержке в связи с ВИЧ для ключевых групп населения (ЛЖВ, ЛУИН, МСМ, СР, ТГ) в рамках осуществления Государственного социального заказа</t>
  </si>
  <si>
    <t>РЦ СПИД</t>
  </si>
  <si>
    <t>Предоставление комплексного пакета  услуг для ЛЖВ, ЛУИН, МСМ, СР, ТГ в г.Бишкек, Ош, Чуйской области (восток и запад), Джалалабадской области</t>
  </si>
  <si>
    <t>количество</t>
  </si>
  <si>
    <t>ЛЖВ-2000 ЛУИН-2000, МСМ-2000, СР-1000.</t>
  </si>
  <si>
    <t>ЛЖВ-3000 ЛУИН-3000, МСМ-3000, СР-2000.</t>
  </si>
  <si>
    <t>ЛЖВ-4000 ЛУИН-4000, МСМ-4000, СР-3000.</t>
  </si>
  <si>
    <t>06</t>
  </si>
  <si>
    <t xml:space="preserve">Профилактические меры по санитарной охране и обеспечение эпидемиологического и зоо-энтомологического надзора в природно-очаговых территориях страны </t>
  </si>
  <si>
    <t>РЦКиООИ</t>
  </si>
  <si>
    <t xml:space="preserve">Количество выставляемых подвижных эпидформирований (эпидотрядов, групп мониторинга, совместных исследовательских групп).   </t>
  </si>
  <si>
    <t>07</t>
  </si>
  <si>
    <t>Обеспечение  контроля качества лабораторной диагностики социально-значимых инфекционных заболеваний</t>
  </si>
  <si>
    <t>НПО "ПМ"</t>
  </si>
  <si>
    <t>Число лабораторий участвующих в программах внешней оценки  качества социально-значимых инфекционных заболеваний.</t>
  </si>
  <si>
    <t>003</t>
  </si>
  <si>
    <r>
      <rPr>
        <b/>
        <sz val="14"/>
        <rFont val="Arial"/>
        <family val="2"/>
      </rPr>
      <t>Организация предоставления услуг здравоохранения</t>
    </r>
    <r>
      <rPr>
        <sz val="14"/>
        <rFont val="Arial"/>
        <family val="2"/>
      </rPr>
      <t xml:space="preserve">
Цель программы: </t>
    </r>
    <r>
      <rPr>
        <b/>
        <sz val="14"/>
        <rFont val="Arial"/>
        <family val="2"/>
      </rPr>
      <t>Улучшение качества предоставления медицинских услуг для всех групп населения  и повышение доступности населения республики к высокотехнологичным методам лечения.</t>
    </r>
  </si>
  <si>
    <t xml:space="preserve">Смертность от новообразований </t>
  </si>
  <si>
    <t>не более 64,0</t>
  </si>
  <si>
    <t xml:space="preserve">Смертность от сахарного диабета </t>
  </si>
  <si>
    <t>не более 6,0</t>
  </si>
  <si>
    <t xml:space="preserve">Смертность от хронических респираторных заболеваний </t>
  </si>
  <si>
    <t>Улучшение качества медицинских услуг, оказываемых государственными организациями здравоохранения с упором на развитие ПМСП</t>
  </si>
  <si>
    <t>УОМПиЛП, КГМА, КГМИПиПК ,ЦМКУ, ЛПУиСП,ош спец</t>
  </si>
  <si>
    <t>Количество развернутых стационарозамещающих отделений, коек в ОЗ ПМСП</t>
  </si>
  <si>
    <t>шт.</t>
  </si>
  <si>
    <t>Эффективность лечения больных лекарственно чувствительным туберкулезом  в ПМСП</t>
  </si>
  <si>
    <t xml:space="preserve">Доля зарегистрированных пациентов с артериальной гипертензией (АГ) на уровне ПМСП от общего количества населения </t>
  </si>
  <si>
    <t>увеличение на 2%</t>
  </si>
  <si>
    <t>Количество ежегодно разработанных  и пересмотренных клинических  протоколов и  руководств.</t>
  </si>
  <si>
    <t>Раннее выявление больных с сахарным диабетом</t>
  </si>
  <si>
    <t>ГЭД</t>
  </si>
  <si>
    <t>НЦФ</t>
  </si>
  <si>
    <t>Заболеваемость туберкулезом в год</t>
  </si>
  <si>
    <t>Случаев на 100 тыс. человек</t>
  </si>
  <si>
    <t>Закупка туберкулина</t>
  </si>
  <si>
    <t>тыс. доз</t>
  </si>
  <si>
    <t>Повышение уровня информированности и потенциала организаций здравоохранений по вопросам обращения лекарственных средств и медицинских изделий</t>
  </si>
  <si>
    <t>МЗ</t>
  </si>
  <si>
    <t>ДЛОиМТ</t>
  </si>
  <si>
    <t>УОМПиЛП,
ФОМС</t>
  </si>
  <si>
    <t>Количество зарегистрированных "желтых карт"</t>
  </si>
  <si>
    <t>Заготовка компонентов и препаратов крови</t>
  </si>
  <si>
    <t>УОМПиЛП,
РЦК</t>
  </si>
  <si>
    <t>ООБ, ТБ</t>
  </si>
  <si>
    <t>Объем заготовленных компонентов и препаратов крови</t>
  </si>
  <si>
    <t>Литр</t>
  </si>
  <si>
    <t>08</t>
  </si>
  <si>
    <t>Охрана здоровья матери и ребенка</t>
  </si>
  <si>
    <t>ЦРЧ,
проект ФОР</t>
  </si>
  <si>
    <t>09</t>
  </si>
  <si>
    <t>Восстановление здоровья населения и интеграция в общество</t>
  </si>
  <si>
    <t xml:space="preserve">УОМПиЛП,
реабилитационные центры </t>
  </si>
  <si>
    <t>Количество больных проходящих  реабилитацию  реабилитационных центрах</t>
  </si>
  <si>
    <t>10</t>
  </si>
  <si>
    <t>Повышение  качества жизни больных, за счет внедрения дорогостоящей и высокотехнологичной помощи, а также сопроводительных и консультативных  мероприятий</t>
  </si>
  <si>
    <t>УФП,
Отдел организации закупок,
третичные ОЗ</t>
  </si>
  <si>
    <t xml:space="preserve">Соотношение  пациентов с терминальной стадией хронической почечной недостаточности охваченых льготным гемодиализным лечением к общему числу пациентов состоящих на учете </t>
  </si>
  <si>
    <t>11</t>
  </si>
  <si>
    <t>Обеспечение инсулином больных  с сахарным и не сахарным диабетом</t>
  </si>
  <si>
    <t>УФП,
Отдел организации закупок</t>
  </si>
  <si>
    <t>Охват  инсулинами больных с сахарным диабетом</t>
  </si>
  <si>
    <t>12</t>
  </si>
  <si>
    <t>Организация судебно-медицинских экспертиз</t>
  </si>
  <si>
    <t>УОМПиЛП,
РБСМЭ, ОЦСМЭ,
РПАБ</t>
  </si>
  <si>
    <t>Количество проведенных судебно-медицинских экспертиз в отношении  умерших   лиц от количества запросов</t>
  </si>
  <si>
    <t>Доля проведенных судебно-медицинских экспертиз в отношении потерпевших, обвиняемых и других лиц от количества запросов</t>
  </si>
  <si>
    <t>13</t>
  </si>
  <si>
    <t>Обеспечение антигемофильными препаратами</t>
  </si>
  <si>
    <t>Доля пациентов имеющих доступ к антигемофильным препаратам</t>
  </si>
  <si>
    <t>Обеспечение доступности химиопрепаратами для онкологических больных</t>
  </si>
  <si>
    <t>НЦО,
УФП,
Отдел организации закупок</t>
  </si>
  <si>
    <t>Доля больных с онкологическими заболеваниями,которым предоставляются химиопрепараты за счет бюджета</t>
  </si>
  <si>
    <t>Обеспечение доступности  химиопрепаратами  детей с онкологическими заболеваниями</t>
  </si>
  <si>
    <t>Доля детей с онкологическими  заболеваниями охваченные химиопрепаратами</t>
  </si>
  <si>
    <t>Обеспечение имуносупрессорами пациентов перенесших трансплантацию органов</t>
  </si>
  <si>
    <t>НИИХСиТО,
УФП,
Отдел организации закупок</t>
  </si>
  <si>
    <t>Количество больных охваченных имуносупрессорами</t>
  </si>
  <si>
    <t>004</t>
  </si>
  <si>
    <r>
      <t xml:space="preserve">Название программы: Медицинское образование и управление человеческими ресурсами в здравоохранении 
</t>
    </r>
    <r>
      <rPr>
        <i/>
        <sz val="14"/>
        <rFont val="Arial"/>
        <family val="2"/>
      </rPr>
      <t>Цель программы Обеспечение квалифицированными медицинскими кадрами организации здравоохранения республики</t>
    </r>
  </si>
  <si>
    <t xml:space="preserve">Количество НПА по развитию кадровых ресурсов здравоохранения  </t>
  </si>
  <si>
    <t xml:space="preserve">ед.  </t>
  </si>
  <si>
    <t xml:space="preserve">Доля клинических баз, прошедших аккредитацию к их общему количеству </t>
  </si>
  <si>
    <t>н/д</t>
  </si>
  <si>
    <t>Улучшение процесса управления кадровыми ресурсами в системе здравоохранения</t>
  </si>
  <si>
    <t>Количество врачебных кадров в сельской местностина 10 тыс. населения</t>
  </si>
  <si>
    <t>на 10 тыс.населения</t>
  </si>
  <si>
    <t>Количество  специалистов  получивших сертификат семейного врача</t>
  </si>
  <si>
    <t>Количество врачей включенных в программу по дополнительному стимулированию врачей, работающих в отдаленных регионах сельской местности и малых городах</t>
  </si>
  <si>
    <t>Подготовка специалистов с высшим медицинским образованием</t>
  </si>
  <si>
    <t>УЧРиОР
КГМА</t>
  </si>
  <si>
    <t>Количество выпускников КГМА подготовленных за счет республиканского бюджета на додипломном уровне</t>
  </si>
  <si>
    <t>Повышение квалификации работников в сфере здравоохранения</t>
  </si>
  <si>
    <t>УЧРиОР
КГМИППК</t>
  </si>
  <si>
    <t>Количество специалистов,  прошедших переподготовку за счет республиканского бюджета</t>
  </si>
  <si>
    <t>Количество специалистов,прошедших курсы повышения квалификации за счет республиканского бюджета</t>
  </si>
  <si>
    <t>Утвержденные/ разработанные учебные планы и программы для дополнительного профессионального образования</t>
  </si>
  <si>
    <t>Учебные программы</t>
  </si>
  <si>
    <t>Подготовка специалистов со средним медицинским образованием</t>
  </si>
  <si>
    <t xml:space="preserve">УЧРиОР
медицинские колледжи
</t>
  </si>
  <si>
    <t>Количество выпускников медколледжей подготовленных за счет республиканского бюджета</t>
  </si>
  <si>
    <t>Утвержденные/ разработанные учебные планы и программы по СМО</t>
  </si>
  <si>
    <t>ВСЕГО (контрольные цифры)</t>
  </si>
  <si>
    <t>Количество зарегистрированных с сахарным диабетом</t>
  </si>
  <si>
    <t>Раннее выявление туберкулеза среди социально-уязвимых групп населения (закупка туберкулина)</t>
  </si>
  <si>
    <t xml:space="preserve">Количество пациентов, получивших доступ к дорогостоящей и высокотехнологичной помощи в рамках программы ФВТ. </t>
  </si>
  <si>
    <t>Количество выпускников подготовленных за счет республиканского бюджета на последипломном уровне</t>
  </si>
  <si>
    <t>Обеспечение контрацептивными средствами женщин из уязвимых категорий населения</t>
  </si>
  <si>
    <t>Увеличение процента беременных, сдающих в первом триместре беременности анализ крови на гемоглобин и анализ мочи на бактериурию в государственном учреждении первичной медико-санитарной помощи</t>
  </si>
  <si>
    <t>Количество разработанных и утвержденных стандартов профилактических услуг НИЗ на популяционном уровне</t>
  </si>
  <si>
    <t>6</t>
  </si>
  <si>
    <t>Количество обученных специалистов кабинета укрепления здоровья по новым руководствам</t>
  </si>
  <si>
    <t>Количество разработанных информационно -образовательных материалов</t>
  </si>
  <si>
    <t>Количество ежегодно проведенных семинаров для специалистов кабинетов укрепления здоровья</t>
  </si>
  <si>
    <t>Тиражирование руководств по профилактики заболеванний</t>
  </si>
  <si>
    <t>Количество проведенных коррдиниционных советов по вопросам охраны здоровья населения и развития системы здравоохранения</t>
  </si>
  <si>
    <t>Формирование, анализ  и сопровождение государственной и отраслевой статистической отчетности по здоровью и здравоохранению Кыргызской Республики;</t>
  </si>
  <si>
    <t xml:space="preserve">ЦЭЗ
</t>
  </si>
  <si>
    <t>Всего (контрольные цифры)</t>
  </si>
  <si>
    <t>Медицинское образование и управление человеческими ресурсами в здравоохранении</t>
  </si>
  <si>
    <t>Организация предоставления услуг здравоохранения</t>
  </si>
  <si>
    <t>Общественное здравоохранение</t>
  </si>
  <si>
    <t>Планирование, управление и администрирование</t>
  </si>
  <si>
    <t>операции с нефинансо   выми активами</t>
  </si>
  <si>
    <t xml:space="preserve">использование товаров и услуг  </t>
  </si>
  <si>
    <t>фонд оплаты труда</t>
  </si>
  <si>
    <t>государственные инвестици (внутр. фин-е)</t>
  </si>
  <si>
    <t>государственные инвестиции (внешнее               фин-е)</t>
  </si>
  <si>
    <t>операции с нефинансовыми активами</t>
  </si>
  <si>
    <t>в том числе,</t>
  </si>
  <si>
    <t>всего</t>
  </si>
  <si>
    <t xml:space="preserve">всего </t>
  </si>
  <si>
    <t>ВСЕГО</t>
  </si>
  <si>
    <t>Средства, аккумулируемые на специальных счетах</t>
  </si>
  <si>
    <t xml:space="preserve">Бюджетные инвестиции </t>
  </si>
  <si>
    <t>Бюджетные средства</t>
  </si>
  <si>
    <t>Название программы</t>
  </si>
  <si>
    <t>тыс.сом.</t>
  </si>
  <si>
    <t>2021 год</t>
  </si>
  <si>
    <t>2020 год</t>
  </si>
  <si>
    <t>2019 год</t>
  </si>
  <si>
    <r>
      <t xml:space="preserve">Главный распорядитель  (полное наименование главного распорядителя) </t>
    </r>
    <r>
      <rPr>
        <u val="single"/>
        <sz val="12"/>
        <rFont val="Times New Roman"/>
        <family val="1"/>
      </rPr>
      <t>Министерство здравоохранения Кыргызской Республики</t>
    </r>
  </si>
  <si>
    <t>Бюджетные программы в разрезе источников финансирования</t>
  </si>
  <si>
    <t>стратегий бюджетных расходов</t>
  </si>
  <si>
    <t>рассмотрения и исполнения среднесрочных</t>
  </si>
  <si>
    <t xml:space="preserve">Приложение 2                                                                                              к Инструкции о порядке формирования, </t>
  </si>
  <si>
    <t>2022 год</t>
  </si>
  <si>
    <t>операции с нефинан  совыми активами</t>
  </si>
  <si>
    <t>государст  венные инвестиции (внешнее фин-е)</t>
  </si>
  <si>
    <t>операции с нефинан совыми активами</t>
  </si>
  <si>
    <t xml:space="preserve">использо  вание товаров и услуг  </t>
  </si>
  <si>
    <t>Год</t>
  </si>
  <si>
    <t>Отчетные данные</t>
  </si>
  <si>
    <t>Утвержденные/ разработанные учебные планы и программы по среднему медицинскому образованию</t>
  </si>
  <si>
    <t>Источники данных</t>
  </si>
  <si>
    <t>Индикатор результативности</t>
  </si>
  <si>
    <t>Код и название бюджетной меры</t>
  </si>
  <si>
    <t>Индикаторы результативности по бюджетной мере</t>
  </si>
  <si>
    <t xml:space="preserve"> (тыс.сом)</t>
  </si>
  <si>
    <t>Бюджетная мера в разрезе источников финансирования</t>
  </si>
  <si>
    <t xml:space="preserve"> «Стратегия развития последипломного и непрерывного медицинского образования в Кыргызской Республике до 2020 года»</t>
  </si>
  <si>
    <t>Связь с приоритетами Правительства</t>
  </si>
  <si>
    <t xml:space="preserve">Данная мера предусматривает подготовку медицинских специалистов со средним образованием для обеспечения квалифицированными медицинскими кадрами организации здравоохранения республики.
В среднесрочной перспективе планируется ежегодное сокращение количества выпускников средних профессиональных учебных заведений на бюджетной основе </t>
  </si>
  <si>
    <t>Краткое описание меры</t>
  </si>
  <si>
    <t>отметить галочкой в прямоугольнике слева от статуса</t>
  </si>
  <si>
    <t>новая мера</t>
  </si>
  <si>
    <t>существующая мера</t>
  </si>
  <si>
    <t>˅</t>
  </si>
  <si>
    <t xml:space="preserve">Статус </t>
  </si>
  <si>
    <t>Медицинские колледжи</t>
  </si>
  <si>
    <t>Ответственные подразделения</t>
  </si>
  <si>
    <t>04. Подготовка специалистов со средним медицинским образованием</t>
  </si>
  <si>
    <t>Бюджетная мера</t>
  </si>
  <si>
    <t>004. Медицинское образование и управление человеческими ресурсами в здравоохранении</t>
  </si>
  <si>
    <t>Программа</t>
  </si>
  <si>
    <t>Министерство здравоохранения Кыргызской Республики</t>
  </si>
  <si>
    <t>Бюджетная организация</t>
  </si>
  <si>
    <t>Мера включает в себя переподготовку и повышение квалификации медицинских работников со средним и высшим медицинским образованием. Медицинский работник регулярно во время профессиональной деятельности должен проходить курсы повышения квалификации, в целях обновления теоретических и практических знаний, совершенствования навыков в связи с постоянно повышающимися требованиями к их квалификации.</t>
  </si>
  <si>
    <t>КГМИиПК</t>
  </si>
  <si>
    <t>03. Повышение квалификации работников в сфере здравоохранения</t>
  </si>
  <si>
    <t>Количество выпускников КГМА  и КГМИПиПК подготовленных за счет республиканского бюджета на последипломном уровне</t>
  </si>
  <si>
    <t xml:space="preserve"> Постановлением Правительства№ 798 КР от 11 декабря 2017 года разработаны и внесены изменения в Постановление Правительства Кыргызской Республики от 31 июня 2007 года №303  «О медицинском последипломном образовании в КР».</t>
  </si>
  <si>
    <t>Данная мера предусматривает подготовку медицинских специалистов с высшим образованием на ДДУ и ПДУ для обеспечения квалифицированными медицинскими кадрами ОЗ республики. Мера необходима для распределения и направления выпускников клинической ординатуры и интернатуры в регионы, где идет нехватка врачей.</t>
  </si>
  <si>
    <t>КГМА</t>
  </si>
  <si>
    <t>02. Подготовка специалистов с высшим медицинским образованием</t>
  </si>
  <si>
    <t>«Стратегия развития последипломного и непрерывного медицинского образования в Кыргызской Республике до 2020 года»</t>
  </si>
  <si>
    <t xml:space="preserve"> Программа " Депозит врача"-мера предусматривает дополнительное стимулирование врачей, работающих в отдаленных регионах сельской местности и малых городах республики, в целях закрепления выпускников высших медицинских образовательных организаций и врачей в государственных организациях здравоохранения.</t>
  </si>
  <si>
    <t>01. Улучшение процесса управления кадровыми ресурсами в системе здравоохранения</t>
  </si>
  <si>
    <t>Описание бюджетной меры</t>
  </si>
  <si>
    <t xml:space="preserve">Приложение 3                                                                                                                          к Инструкции о порядке формирования, </t>
  </si>
  <si>
    <t>Код инициативы:
Закон КР "Об общественном здравоохранении"</t>
  </si>
  <si>
    <t xml:space="preserve"> Обеспечение качественного, эффективного проведения  диагностического  лабораторного тестирования 
</t>
  </si>
  <si>
    <t>Научно-производственное объединение "Профилактическая медицина"</t>
  </si>
  <si>
    <t>002. Общественное здравоохранение</t>
  </si>
  <si>
    <t xml:space="preserve">Недопущение регистрации карантинных и особо опасных инфекций </t>
  </si>
  <si>
    <t>Республиканский центр "СПИД"</t>
  </si>
  <si>
    <t>Закона Кыргызской Республики № 70 от 28 апреля 2017 года «О государственном социальном заказе».                                                 Программа Правительства Кыргызской Республики по преодолению ВИЧ-инфекции в Кыргызской Республике 
на 2017-2021 годы. ППКР от 30 декабря 2017 года № 852.</t>
  </si>
  <si>
    <t>В рамках исполнения закона Кыргызской Республики № 70 от 28 апреля 2017 года «О государственном социальном заказе», в соответствии с планом мероприятий Правительства Кыргызской Республики на 2017 год, были разработаны «Программа государственного социального заказа в области здравоохранения Кыргызской Республики» и «Стандарты услуг для ключевых групп населения в рамках государственного социального заказа в Кыргызской Республике».  Реализация мероприятий в рамках государственного социального заказа, с привлечением неправительственных организаций, частного сектора, позволит обеспечить достижение поставленных целей при более эффективном использовании государственных ресурсов. Приоритетами Программы госсоцзаказа в сфере ВИЧ на последующие 3 года станет деятельность направленная на ключевые группы, в соответствии с Программой Правительства КР по противодействию эпидемии ВИЧ на 2017-2021 гг. При этом, учитывая распространенность ВИЧ-инфекции по регионам страны и сокращение донорских средств на мероприятия, связанных с ВИЧ, программы государственного социального заказа будут осуществляться преимущественно в регионах с высоким распространением ВИЧ-инфекции и высокой концентрацией ключевых групп. Проведенное исследование по оценке нужд и потребностей ключевых групп позволило сформировать для каждой группы приоритетные услуги, включающие психосоциальное консультирование, тестирование и консультирование в связи с ВИЧ, предоставление изделий медицинского назначения (шприцы, презервативы, любриканты), перенаправление или социальное сопровождение для получения медицинских и социальных услуг, группы самоподдержки.</t>
  </si>
  <si>
    <t>РЦ СПИД, ОГЦПБС</t>
  </si>
  <si>
    <t>05. Предоставление комплексного пакета услуг по профилактике, уходу и поддержке в связи с ВИЧ для ключевых групп населения (ЛЖВ, ЛУИН, МСМ, СР, ТГ) в рамках осуществления Государственного социального заказа</t>
  </si>
  <si>
    <t>Республиканский центр электронного здравоохранения форма 4 здрав</t>
  </si>
  <si>
    <t>Доля лиц живущих с ВИЧ-инфекцией , знающих свой статус и получающих антиретровирусную терапию</t>
  </si>
  <si>
    <t>Республиканский центр электронного здравоохранения форма 4</t>
  </si>
  <si>
    <t xml:space="preserve">Программа Правительства Кыргызской Республики 
по преодолению ВИЧ-инфекции в Кыргызской Республике 
на 2017-2021 годы. ППКР от 30 декабря 2017 года № 852.
</t>
  </si>
  <si>
    <t xml:space="preserve">Свести к минимуму последствия эпидемии ВИЧ-инфекции путем сокращения на 50  % заболеваемости и смертности, обусловленных ВИЧ, до 2022 года по сравнению с 2015 годом. Обеспечить, чтобы 90  % людей, живущих с ВИЧ, знали о своем ВИЧ-статусе, охватить 90 % людей, живущих с ВИЧ, антиретровирусной терапией (АРТ) и достичь подавления вирусной нагрузки у 90 % лиц, получающих АРТ, к 2022 году.
</t>
  </si>
  <si>
    <t>04. Профилактика, диагностика, лечение и уход при ВИЧ-инфекции</t>
  </si>
  <si>
    <t>РЦУЗ, график выезда ЦСМ</t>
  </si>
  <si>
    <t>Количество выездов  специалистов кабинета укрепления здоровья в 1600 сел для обучения сельких комитетов здоровья в год</t>
  </si>
  <si>
    <t>РЦУЗ, приказ ЦСМ</t>
  </si>
  <si>
    <t>Количество обученных специалистов кабинетов укрепления здоровья</t>
  </si>
  <si>
    <t>График выезда ЦСМ.</t>
  </si>
  <si>
    <t xml:space="preserve">приказ МЗ КР </t>
  </si>
  <si>
    <t>Количество ежегодно проведенных семинаров для специалистов кабинета укрепления здоровья</t>
  </si>
  <si>
    <t xml:space="preserve"> РЦУЗ, план работы МЗ КР</t>
  </si>
  <si>
    <t>Количество разработанных информационно-образовательных материалов</t>
  </si>
  <si>
    <t xml:space="preserve">РЦУЗ </t>
  </si>
  <si>
    <t>Количество обученных специалистов КУЗ по новым руководствам</t>
  </si>
  <si>
    <t xml:space="preserve">РЦУЗ, счет фактура </t>
  </si>
  <si>
    <t>Тиражирование руководств по профилактике заболеваний</t>
  </si>
  <si>
    <t>Укрепление здоровья населения и проведение профилактики, путем повышения информированности среди населения</t>
  </si>
  <si>
    <t>03.Информационная работа с населением по вопросам укрепления здоровья</t>
  </si>
  <si>
    <t>&gt;90</t>
  </si>
  <si>
    <t>Доля вакцинированных лиц по эпидемиологическим  показаниям для предотвращения особо опасных и карантинных инфекций (от бешенства, чумы, клещевого вирусного энцефалита)</t>
  </si>
  <si>
    <t>&gt;95</t>
  </si>
  <si>
    <t>Центр электронного здравоохранения  МЗ КР, РЦИ форма №6</t>
  </si>
  <si>
    <t>Код инициативы:
Закон КР "Об иммунопрофилактике", "Об общественном здравоохранении"</t>
  </si>
  <si>
    <t xml:space="preserve">Обеспечение охвата населения иммунизацией, в целях снижения и предупреждения вспышечных вакциноуправляемых заболеваний </t>
  </si>
  <si>
    <t>РЦИ, вакцины также для РЦКиООИ, ДПЗиГСЭН
ДПЗиГСЭН</t>
  </si>
  <si>
    <t xml:space="preserve">02.Политика иммунизации населения </t>
  </si>
  <si>
    <t>показатель на 100 тыс. населения</t>
  </si>
  <si>
    <t>Центр электронного здравоохранения  МЗ КР, ДПЗиГСЭН форма №1</t>
  </si>
  <si>
    <t>Заболеваемость бруцуллезом</t>
  </si>
  <si>
    <t>ДПЗиГСЭН, РЦКиООИ</t>
  </si>
  <si>
    <t>Центр  стандартизации и метрологии при МЭ КР</t>
  </si>
  <si>
    <t>01. Профилактические меры по обеспечению безопасности здоровья человека (пищевой продукции, воды, воздуха в помещениях, радиационного фона) - Обеспечение достоверности и качества лабораторных испытаний/исследований через участие в МЛСИ</t>
  </si>
  <si>
    <t xml:space="preserve">Обеспечение надзора с применением лабораторных исследований,  за соблюдением санитарных требований на объектах, влияющих на безопасность здоровья человека. Данные мероприятия  повлияют на снижение  уровня заболеваемости, связанные с водой, питанием, состоянием окружающей среды. </t>
  </si>
  <si>
    <t xml:space="preserve">Код инициативы:
</t>
  </si>
  <si>
    <t>Министерством здравоохранения осуществляются расходы на содержание социально-культурной инфраструктуры, включающие расходы на медицинские библиотеки и детский сад.</t>
  </si>
  <si>
    <t>Детсад, библиотеки</t>
  </si>
  <si>
    <t>10. Социально-культурное обеспечение медработников</t>
  </si>
  <si>
    <t xml:space="preserve">001. Планирование, управление и администрирование               </t>
  </si>
  <si>
    <t>09. Лицензирование частной медицинской деятельности</t>
  </si>
  <si>
    <t>ЦЭЗ, ОМИЦ</t>
  </si>
  <si>
    <t xml:space="preserve">Повышение эффективности стратегического управления в здравоохрании. Обеспечение мониторинга и анализа сектора здравоохранения </t>
  </si>
  <si>
    <t>Министерством через Управление стратегического планирования и разработки политики здравоохранения обеспечивается общее руководство и координация деятельности всех субъектов системы здравоохранения, заинтересованных систем и структур, международных донорских организаций.</t>
  </si>
  <si>
    <t xml:space="preserve">07. Обеспечение мониторинга,  анализа и стратегического планирования сектора здравоохранения </t>
  </si>
  <si>
    <t>не менее 2 раз в год</t>
  </si>
  <si>
    <t>В целях организации комплексной и эффективной системы внутреннего контроля для достижения результативного, экономного и эффективного управления Министерством, а также подведомственными организациями, включающую бухгалтерский учет, финансовую отчетность, соблюдение нормативных правовых актов, внутренних актов, предотвращение и выявление противоправных деяний, обеспечение сохранности активов, надежности, правильности и адекватности финансовой и управленческой отчетности, информации</t>
  </si>
  <si>
    <t>06. Обеспечение внутреннего мониторинга и контроля (службa внутреннего аудита)</t>
  </si>
  <si>
    <t xml:space="preserve">Поддержание внешних связей </t>
  </si>
  <si>
    <t>Данная мера включает расходы по обеспечению деятельности министерства.</t>
  </si>
  <si>
    <t>Отдел организации закупок, ТОП, МОП</t>
  </si>
  <si>
    <t>05. Организация деятельности и службы обеспечения</t>
  </si>
  <si>
    <t>С участием юридического отдела осуществляется разработка и внесение на рассмотрение в установленном порядке проектов законов и других нормативных правовых актов, направленных на реализацию государственной политики в сфере социального развития, обеспечение функционирования, развития и совершенствования системы социального развития, положений о подведомственных и территориальных подразделениях министерства, определяющих права и полномочия учреждения. Также, проводится обобщение практики применения законодательства в области социального развития, утверждаются и издаются в пределах своей компетенции решения, обязательные для исполнения подведомственными и территориальными подразделениями министерства.</t>
  </si>
  <si>
    <t>04. Правовая поддержка</t>
  </si>
  <si>
    <t>Управление человеческими ресурсами и делопроизводство (делопроизводство)</t>
  </si>
  <si>
    <t>Министерством через Управление человеческими ресурсами и организационной работы (штатная численность 6 человек) реализуется государственная кадровая политика в области социального развития, обеспечивается контроль за организацией и проведением аттестации сотрудников системы министерства.</t>
  </si>
  <si>
    <t xml:space="preserve">Отчетные данные </t>
  </si>
  <si>
    <t xml:space="preserve">Код инициативы: Ежегодные законы КР о республиканском бюджете, бюджете ФОМС и бюджете Соцфонда.
</t>
  </si>
  <si>
    <t>Министерством осуществляется мероприятия по финансовому обеспечению деятельности финансируемых организаций (127 организаций здравоохранения), достижению доли расходов на здравоохранение (за вычетом инвестиционных расходов) на уровне не менее 13 процентов от общегосударственных расходов.</t>
  </si>
  <si>
    <t>02. Обеспечение финансового менеджмента и учета</t>
  </si>
  <si>
    <t>Нацстаткомитет</t>
  </si>
  <si>
    <t xml:space="preserve">Код инициативы: Закон КР об охране здоровья
</t>
  </si>
  <si>
    <t>В рамках данной меры совершенствуется регулятивная и законодательная база сектора, проводится анализ тенденций в секторе и на его основе разрабатываются стратегические направления и приоритеты развития, осуществляются мероприятия по поддержке и развитию подведомственных организаций.</t>
  </si>
  <si>
    <t>01. Обеспечение общего руководства</t>
  </si>
  <si>
    <t xml:space="preserve">003. Улучшение качества предоставления медицинских услуг для всех групп населения  </t>
  </si>
  <si>
    <t>01. Улучшение качества медицинских услуг, оказываемых государственными организациями здравоохранения с упором на развитие ПМСП</t>
  </si>
  <si>
    <t>УОМПиЛП, ЦМКУ,ЛПУиСП,Ош.спец</t>
  </si>
  <si>
    <t xml:space="preserve">В рамках данного мероприятия: Проведение анализа и открытие стационарзамещающих коек на базе ОЗ ПМСП, 
- Поддержка долгосрочной цели Правительства по улучшению качества медицинской помощи, способствующих достижению Целей Развития Тысячилетия; 
-  регулярный  мониторинг качества медицинской помощи в стационарах; разработка клинических протоколов по основным нозологиям,  внедрение клинических протоколов в ОЗ, путем проведения обучения новым клиническим протоколам    </t>
  </si>
  <si>
    <t>Количество  разработанных  и пересмотренных клинических  протоколов и  руководств к общему количеству</t>
  </si>
  <si>
    <t>отдел ДМ</t>
  </si>
  <si>
    <t>02.  Раннее выявление больных с сахарным диабетом</t>
  </si>
  <si>
    <t xml:space="preserve">Цель - создание национальной системы профилактики и контроля неинфекционных заболеваний. Снижение уровня заболеваемсти, преждевременной смертности, инвалидизации населения КР по причине НИЗ. Снижение распространенности риск-факторов НИЗ, уменьшение социально-экономического бремени НИЗ на принципах межсекторального взаимодействия посредством комплексных действий по контролю основных факторов риска и повышение качества медицинской помощи на основах принципов доказательной медицины. </t>
  </si>
  <si>
    <t>В соответствии с Постановлением Правительства КР "Программа по профилактике и контролю НИЗ в Кыргызской Республике на 2013-2020 годы" от 11 ноября 2013 года №597.</t>
  </si>
  <si>
    <t>Профилактические мероприятия на уровне ПМСП по раннему выявлению сахарного диабета, гипертонической болезни</t>
  </si>
  <si>
    <t>03. Раннее выявление туберкулеза среди социально уязвимых групп населения(закупка туберкулина)</t>
  </si>
  <si>
    <t xml:space="preserve">В целях реализации Национальной программы  "Туберкулез 5" на 2017-2021г - проведение мероприятий по выявлению  туберкулеза на уровне ПМСП, информационно-образовательная кампания. Целью является предотвращение роста ТБ с лекарственной устойчивостью и дальнейшее снижение заболеваемости и смертности от всех форм туберкулеза в КР.  1.Активное выявление случаев и наблюдение за лицами, из контактов с больными туберкулезом (включая медицинский персонал), в группах риска; 2. Обеспечение своевременной и качественной вакцинации БЦЖ детей младенческого возраста; 3. Профилактическая противотуберкулезная терапия ВИЧ-инфицированным взрослым и детям, контактным с больными чувствительными формами туберкулеза. </t>
  </si>
  <si>
    <t xml:space="preserve">Распоряжение Правительства КР "Туберкулез 5" от 10  октября  2018 года №488.  </t>
  </si>
  <si>
    <t xml:space="preserve">Проведение профилактических мероприятий с целью снижения туберкулеза в КР </t>
  </si>
  <si>
    <t>ЦЭЗ, (КИФ)</t>
  </si>
  <si>
    <t>случаи на 100 тыс населения</t>
  </si>
  <si>
    <t>тыс.доз</t>
  </si>
  <si>
    <t>Реализация Государственной лекарственной политики до 2020 года: информационная кампания: проведение тренингов, семинаров для врачей, медсестер с целью повышения информированности по вопросам обращений  ЛС и МИ</t>
  </si>
  <si>
    <t>В целях реализации ПОСТАНОВЛЕНИЕ ПРАВИТЕЛЬСТВА КЫРГЫЗСКОЙ РЕСПУБЛИКИ
г.Бишкек, от 8 июля 2014 года № 376 Об утверждении Программы Правительства Кыргызской Республики по развитию сферы обращения лекарственных средств в Кыргызской Республике на 2014-2020 годы. В целях реализации Законов Кыргызской Республики "Об обращении лекарственных средств" №165, "Об обращении медицинских изделий"  №166 дальнейшего совершенствования фармацевтического сектора, в соответствии со статьями 10 и 17 конституционного Закона Кыргызской Республики "О Правительстве Кыргызской Республики"</t>
  </si>
  <si>
    <t>05. Заготовка компонентов и препаратов крови</t>
  </si>
  <si>
    <t xml:space="preserve">В целях реализации будет проводится заготовка крови для обеспечения нуждающихся пациентов
</t>
  </si>
  <si>
    <t xml:space="preserve">Во исполнения Закона КР " Об охране здоровья населения КР", Закона КР " О компонентах крови"  
</t>
  </si>
  <si>
    <t>003. Улучшение качества предоставления медицинских услуг для всех групп населения.</t>
  </si>
  <si>
    <t>06. Охрана здоровья матери и ребенка(ранее медицинское наблюдение беременных детей ,квалифицированная медицинская помощь роженицам и детям)</t>
  </si>
  <si>
    <t>Центры репродукции</t>
  </si>
  <si>
    <t xml:space="preserve">В рамках мероприятий по охране  материанства и детства в КР будут проведены закупки  контрацептивных средств, 
</t>
  </si>
  <si>
    <t>КНИИКВЛ, реабилитационные центры</t>
  </si>
  <si>
    <t xml:space="preserve">В рамках данного мероприятия будут проведен анализ по медицинской реабилитации и мероприятия по увеличению количества лиц медицинскую реабилитацию 
</t>
  </si>
  <si>
    <t xml:space="preserve">В Стратегии 2030 одним из основных направлений является медицинская реабилитация. Целью данного компонентов - снижение количестива ЛОВЗ, усиление материально-технической базы реабилитационных центров. 
</t>
  </si>
  <si>
    <t>003. Улучшение качества предоставления медицинских услуг для всех групп населения .</t>
  </si>
  <si>
    <t xml:space="preserve">08. Оказание  высокотехнологичной  медицинской помощи социально-уязвимым слоям населения </t>
  </si>
  <si>
    <t>УОМПиЛП, третичные организации</t>
  </si>
  <si>
    <t>09. Обеспечение инсулином больных  с сахарным  диабетом</t>
  </si>
  <si>
    <t>Целью -уменьшение смертности от осложений и инвалидности  от сахарного диабета. В связи с ежегодным увеличением количества больных сахраным диабетом , получающих инсулин на 10%, увеличивается потребность в сахароснижающих препаратах в виде инсулина. Будет проведена закупка инсулина и средств его введения.</t>
  </si>
  <si>
    <t>10. Организация судебно-медицинских экспертиз</t>
  </si>
  <si>
    <t>РБМСЭ, бюро судмедэкспертизы</t>
  </si>
  <si>
    <t xml:space="preserve">003. Улучшение качества предоставления медицинских услуг для всех групп населения.  </t>
  </si>
  <si>
    <t>11. Обеспечение антигемофильными препаратами</t>
  </si>
  <si>
    <t>Будут проведен закуп антигемофильных препаратов, что обеспечит  жизенно-необходим препаратами
Целью является обеспечение жизненно-необходимых препаратами.</t>
  </si>
  <si>
    <t>УОМПиЛП, НЦО</t>
  </si>
  <si>
    <t xml:space="preserve">В рамках реализации Закона "Об охране здоровья", "Об онкологической помощи населению КР " будут проведены закупки химипрепаратов для онкологических больных. Целью является обеспечение жизненно-необходимых препаратами.
</t>
  </si>
  <si>
    <t>003. Улучшение качества предоставления медицинских услуг для всех групп населения  и повышение доступности населения республики к высокотехнологичным методам лечения.</t>
  </si>
  <si>
    <t>13. Обеспечение имуносупрессорами пациентов перенесших трансплантацию органов</t>
  </si>
  <si>
    <t xml:space="preserve">Приложение 4-1                                                                                                                    к Инструкции о порядке формирования, </t>
  </si>
  <si>
    <t>Стоимость бюджетных программ и мер в разрезе экономической классификации  (бюджетные средства) на 2019 год</t>
  </si>
  <si>
    <r>
      <t xml:space="preserve">Главный распорядитель  </t>
    </r>
    <r>
      <rPr>
        <b/>
        <sz val="12"/>
        <color indexed="8"/>
        <rFont val="Times New Roman"/>
        <family val="1"/>
      </rPr>
      <t>Министерство здравоохранения Кыргызской Республики</t>
    </r>
  </si>
  <si>
    <t>Утв. 2007 г.</t>
  </si>
  <si>
    <t>Ответственное ведомство /
подразделение</t>
  </si>
  <si>
    <t>Штатная численность</t>
  </si>
  <si>
    <t>Оплата труда работников</t>
  </si>
  <si>
    <t>Использование товаров и услуг</t>
  </si>
  <si>
    <t>Проценты</t>
  </si>
  <si>
    <t>Субсидии</t>
  </si>
  <si>
    <t>Гранты</t>
  </si>
  <si>
    <t>Социальные пособия выплаты</t>
  </si>
  <si>
    <t>Другие расходы</t>
  </si>
  <si>
    <t xml:space="preserve">Нефинансовые активы </t>
  </si>
  <si>
    <t>Финансовые активы</t>
  </si>
  <si>
    <t>Обязательства</t>
  </si>
  <si>
    <t xml:space="preserve">Планирование, управление и администрирование                                                                                                                              </t>
  </si>
  <si>
    <t>Социально-культурное обеспечения медработников</t>
  </si>
  <si>
    <t>Детсад, мед. библиотеки</t>
  </si>
  <si>
    <t>ДПЗиГСЭН, 
ЦПЗиГСЭН,
СЭС КЖД</t>
  </si>
  <si>
    <t>ДПЗиГСЭН,
РЦИ</t>
  </si>
  <si>
    <t>РЦУЗ, 
БЦУЗ</t>
  </si>
  <si>
    <t>Профилактика,диагностика,лечение и уход при ВИЧ-инфекции</t>
  </si>
  <si>
    <t>РЦ СПИД, 
центры по борьбе со СПИД</t>
  </si>
  <si>
    <t>РЦКиООИ, противочумные отделения</t>
  </si>
  <si>
    <t>НПО "Профилактическая медицина"</t>
  </si>
  <si>
    <t>УОМПиЛП, ЦМКУ, ЛПУиСП, Ош спец. б-ца</t>
  </si>
  <si>
    <t>Раннее выявление больных  сахарным диабетом</t>
  </si>
  <si>
    <t>УОМПиЛП, ЦСМ/ГСВ, Республиканский эндокринологический центр</t>
  </si>
  <si>
    <t>Раннее выявление туберкулеза среди социально уязвимых групп населения(закупка туберкулина)</t>
  </si>
  <si>
    <t>УОМПиЛП, 
НЦФ</t>
  </si>
  <si>
    <t>УОМПиЛП,
ФОМС,
ДЛОиМТ</t>
  </si>
  <si>
    <t>Республиканский центр крови, центры крови</t>
  </si>
  <si>
    <t>КНЦРЧ, дома ребенка,
ЦСМ/ГСВ</t>
  </si>
  <si>
    <t>Реабилитационные центры , КНИИКиВЛ</t>
  </si>
  <si>
    <t xml:space="preserve">Оказание  высокотехнологичной  медицинской помощи социально-уязвимым слоям населения </t>
  </si>
  <si>
    <t>УОМПиЛП, УФП, отдел организации закупок, третичные организации</t>
  </si>
  <si>
    <t>Обеспечение инсулином больных  с сахарным диабетом</t>
  </si>
  <si>
    <t>УОМПиЛП, УФП,
Отдел организации закупок, Республиканский эндокринологический центр, ЦСМ/ГСВ</t>
  </si>
  <si>
    <t>УОМПиЛП, УФП, 
Отдел организации закупок</t>
  </si>
  <si>
    <t>УОМПиЛП, НИИХСТО,
УФП, 
Отдел организации закупок</t>
  </si>
  <si>
    <t>УЧРиОР,
КГМА</t>
  </si>
  <si>
    <t>УЧРиОР,
КГМИПиПК</t>
  </si>
  <si>
    <t>УЧРиОР,
Медицинские колледжи</t>
  </si>
  <si>
    <t>Итого</t>
  </si>
  <si>
    <t>Всего</t>
  </si>
  <si>
    <t xml:space="preserve">Стоимость бюджетных программ и мер в разрезе экономической классификации  (средства, аккумулируемые на специальных счетах) </t>
  </si>
  <si>
    <t xml:space="preserve">Планирование, управление и администрирование   </t>
  </si>
  <si>
    <t>Итого по программе 2</t>
  </si>
  <si>
    <t xml:space="preserve">Улучшение качества предоставления медуслуг на уровне ПМСП </t>
  </si>
  <si>
    <t>УОМПиЛП, Ош. спец. больница, Поликлиника студентов, ЦМКУиСМ</t>
  </si>
  <si>
    <t>Раннее выявлени больных с сахарным диабетом</t>
  </si>
  <si>
    <t>УОМПиЛП, РБСМЭ, ОЦСМЭ,
РПАБ</t>
  </si>
  <si>
    <t>Итого по программе 3</t>
  </si>
  <si>
    <t>Итого по программе 4</t>
  </si>
  <si>
    <t>2022 г.</t>
  </si>
  <si>
    <t>03. Управление человеческими ресурсами и организационной работы</t>
  </si>
  <si>
    <t xml:space="preserve"> документации</t>
  </si>
  <si>
    <t>судебные иски</t>
  </si>
  <si>
    <t>УСПиВР</t>
  </si>
  <si>
    <t>Программа здоровья 2030</t>
  </si>
  <si>
    <t>08. Формирование, анализ  и сопровождение государственной и отраслевой статистической отчетности по здоровью и здравоохранению Кыргызской Республики;</t>
  </si>
  <si>
    <t>Своевременное  обеспечение   мониторинга индикаторов оценки реализации Национальных и государственных программ по вопросам здравоохранения и представление ее пользователям.</t>
  </si>
  <si>
    <t xml:space="preserve">Национальных и государственных программ </t>
  </si>
  <si>
    <t>отчетные данные</t>
  </si>
  <si>
    <t>В рамках данной бюджетной меры планируется получение лицензий  через электронную запись</t>
  </si>
  <si>
    <t>2022 г</t>
  </si>
  <si>
    <t>факт данные</t>
  </si>
  <si>
    <t>2022г</t>
  </si>
  <si>
    <t>06. Обеспечение  контроля качества лабораторной диагностики социально-значимых инфекционных заболеваний (ВИЧ, бруцеллез, гепатиты, сифилис)</t>
  </si>
  <si>
    <t>Республиканский центр карантинных и особо опасных инекций</t>
  </si>
  <si>
    <t>04.Повышение уровня информированности и потенциала организаций здравоохранений по вопросам обращения лекарственных средств и медицинских изделий</t>
  </si>
  <si>
    <t>Количество обученных специалистов организаций здравоохранения по разным направлениям обращения ЛС и М</t>
  </si>
  <si>
    <t>ед.</t>
  </si>
  <si>
    <t>07. Восстановление здоровья населения и интеграция в общество</t>
  </si>
  <si>
    <t>12. Обеспечение доступности химиопрепаратами для онкологических больных</t>
  </si>
  <si>
    <t>Своевременное представление качественной статистической отчетности по здравоохранению</t>
  </si>
  <si>
    <t xml:space="preserve">В целях реализации Закона КР "Об охране репродуктивного здоровья", целью- которого является снижение материнской и десткой смертности. 
</t>
  </si>
  <si>
    <t>Восстановления здоровья населения и интеграция в общество</t>
  </si>
  <si>
    <t>Загатовка компонентов и преператов крови</t>
  </si>
  <si>
    <t xml:space="preserve">Будут проведен анализ, закуп химиопрепаратов дляй с онкологическими заболеваниями
</t>
  </si>
  <si>
    <t xml:space="preserve">Будет проведен анализ, закуп химиопрепаратов для больных  с онкологическими заболеваниями
</t>
  </si>
  <si>
    <t>на 2020 год</t>
  </si>
  <si>
    <t>Стоимость бюджетных программ и мер в разрезе экономической классификации (бюджет)</t>
  </si>
  <si>
    <t xml:space="preserve">Код инициативы: Программа Правительства КР по охране здоровья населения и развитию системы здравоохранения на 2019-2030 годы "Здоровый человек - процветающая страна", утвержденной постановлением Правительства КР от 20 декабря 2018 года №600
</t>
  </si>
  <si>
    <t>Формирование, анализ  и сопровождение государственной и отраслевой статистической отчетности по здоровью и здравоохранению Кыргызской Республики</t>
  </si>
  <si>
    <t>Код инициативы: Программа Правительства КР по охране здоровья населения и развитию системы здравоохранения на 2019-2030 годы "Здоровый человек - процветающая страна", утвержденной постановлением Правительства КР от 20 декабря 2018 года №600</t>
  </si>
  <si>
    <t>В соответсвии с Законом КР от 9 июня 2006 г. №166 "О сахарном диабете", Программе "Профилактика и контроль НИЗ, утвержденный постановлением АПКР от 11 ноября 2013 г. №597</t>
  </si>
  <si>
    <t xml:space="preserve"> Закон Кыргызской Республики "Об охране здоровья граждан в Кыргызской Республике", постановление Правительства КР от 12 января 2012 года №33 "Об организации и проведении судебно-медицинских экспертиз в Кыргызской Республике"</t>
  </si>
  <si>
    <t>Проведение судебно-медицинских экспертиз в отношении потерпевших, обвиняемых и умерших лиц</t>
  </si>
  <si>
    <t xml:space="preserve"> Закон Кыргызской Республики "Об охране здоровья граждан в Кыргызской Республике", Программа Правительства КР по охране здоровья населения и развитию системы здравоохранения на 2019-2030 годы "Здоровый человек - процветающая страна", утвержденной постановлением Правительства КР от 20 декабря 2018 года №600</t>
  </si>
  <si>
    <t xml:space="preserve">06.Профилактические меры по санитарной охране и обеспечение эпидемиологического и зоо-энтомологического надзора в природно-очаговых территориях страны </t>
  </si>
  <si>
    <t>2019 ПОЛУГОДИЕ</t>
  </si>
  <si>
    <t xml:space="preserve">КНЦРЧ, дома ребенка
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</si>
  <si>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5</t>
    </r>
  </si>
  <si>
    <t>Приложение 3</t>
  </si>
  <si>
    <t xml:space="preserve">         к Инструкции о порядке формирования, </t>
  </si>
  <si>
    <r>
      <rPr>
        <b/>
        <sz val="10"/>
        <rFont val="Times New Roman"/>
        <family val="1"/>
      </rPr>
      <t>Организация предоставления услуг здравоохранения</t>
    </r>
  </si>
  <si>
    <r>
      <rPr>
        <b/>
        <sz val="14"/>
        <rFont val="Times New Roman"/>
        <family val="1"/>
      </rPr>
      <t>Организация предоставления услуг здравоохранения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</si>
</sst>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##,000__;\-###,000__"/>
    <numFmt numFmtId="166" formatCode="##,#00__;\-##,#00__"/>
    <numFmt numFmtId="167" formatCode="0.0"/>
    <numFmt numFmtId="168" formatCode="0.0%"/>
    <numFmt numFmtId="169" formatCode="#,##0.000000000"/>
    <numFmt numFmtId="170" formatCode="_-* #,##0_р_._-;\-* #,##0_р_._-;_-* &quot;-&quot;??_р_._-;_-@_-"/>
    <numFmt numFmtId="171" formatCode="#,##0.00000"/>
  </numFmts>
  <fonts count="94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28"/>
      <name val="Times New Roman"/>
      <family val="1"/>
    </font>
    <font>
      <b/>
      <sz val="28"/>
      <color indexed="8"/>
      <name val="Times New Roman"/>
      <family val="1"/>
    </font>
    <font>
      <sz val="10"/>
      <color indexed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22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28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 tint="0.04998999834060669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/>
    </border>
    <border>
      <left style="thin"/>
      <right style="hair"/>
      <top style="thin"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>
        <color rgb="FF000000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hair"/>
      <right style="medium"/>
      <top style="hair"/>
      <bottom style="medium"/>
    </border>
    <border>
      <left style="hair"/>
      <right style="hair"/>
      <top style="medium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medium"/>
      <bottom style="medium"/>
    </border>
    <border>
      <left style="hair"/>
      <right/>
      <top style="medium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medium"/>
      <top/>
      <bottom style="medium"/>
    </border>
    <border>
      <left style="hair"/>
      <right style="thin"/>
      <top style="hair"/>
      <bottom style="hair"/>
    </border>
    <border>
      <left style="hair"/>
      <right style="medium"/>
      <top style="thin"/>
      <bottom style="hair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medium"/>
      <right style="hair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/>
      <top/>
      <bottom style="thin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61" fillId="0" borderId="0">
      <alignment/>
      <protection/>
    </xf>
    <xf numFmtId="0" fontId="73" fillId="0" borderId="0">
      <alignment/>
      <protection/>
    </xf>
    <xf numFmtId="0" fontId="61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165" fontId="5" fillId="0" borderId="13" xfId="0" applyNumberFormat="1" applyFont="1" applyFill="1" applyBorder="1" applyAlignment="1">
      <alignment horizontal="right" vertical="center"/>
    </xf>
    <xf numFmtId="166" fontId="5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14" xfId="52" applyFont="1" applyFill="1" applyBorder="1" applyAlignment="1">
      <alignment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164" fontId="5" fillId="0" borderId="1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right" vertical="center"/>
    </xf>
    <xf numFmtId="166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165" fontId="5" fillId="0" borderId="17" xfId="0" applyNumberFormat="1" applyFont="1" applyFill="1" applyBorder="1" applyAlignment="1">
      <alignment horizontal="right" vertical="center"/>
    </xf>
    <xf numFmtId="166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52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right" vertical="center"/>
    </xf>
    <xf numFmtId="166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right" vertical="center"/>
    </xf>
    <xf numFmtId="166" fontId="5" fillId="0" borderId="2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top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 wrapText="1"/>
    </xf>
    <xf numFmtId="164" fontId="5" fillId="33" borderId="33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horizontal="center" vertical="center" wrapText="1"/>
    </xf>
    <xf numFmtId="164" fontId="5" fillId="33" borderId="3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center" wrapText="1"/>
    </xf>
    <xf numFmtId="1" fontId="79" fillId="33" borderId="22" xfId="0" applyNumberFormat="1" applyFont="1" applyFill="1" applyBorder="1" applyAlignment="1">
      <alignment horizontal="center" vertical="center" wrapText="1"/>
    </xf>
    <xf numFmtId="3" fontId="79" fillId="33" borderId="20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5" fillId="33" borderId="37" xfId="0" applyNumberFormat="1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80" fillId="33" borderId="3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vertical="center" wrapText="1"/>
    </xf>
    <xf numFmtId="164" fontId="5" fillId="33" borderId="34" xfId="0" applyNumberFormat="1" applyFont="1" applyFill="1" applyBorder="1" applyAlignment="1">
      <alignment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vertical="center" wrapText="1"/>
    </xf>
    <xf numFmtId="3" fontId="5" fillId="33" borderId="34" xfId="0" applyNumberFormat="1" applyFont="1" applyFill="1" applyBorder="1" applyAlignment="1">
      <alignment vertical="center" wrapText="1"/>
    </xf>
    <xf numFmtId="0" fontId="5" fillId="33" borderId="38" xfId="0" applyFont="1" applyFill="1" applyBorder="1" applyAlignment="1">
      <alignment vertical="center" wrapText="1"/>
    </xf>
    <xf numFmtId="0" fontId="5" fillId="33" borderId="38" xfId="0" applyFont="1" applyFill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vertical="center" wrapText="1"/>
    </xf>
    <xf numFmtId="3" fontId="5" fillId="33" borderId="39" xfId="0" applyNumberFormat="1" applyFont="1" applyFill="1" applyBorder="1" applyAlignment="1">
      <alignment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167" fontId="5" fillId="33" borderId="22" xfId="0" applyNumberFormat="1" applyFont="1" applyFill="1" applyBorder="1" applyAlignment="1">
      <alignment horizontal="center" vertical="center" wrapText="1"/>
    </xf>
    <xf numFmtId="9" fontId="5" fillId="33" borderId="22" xfId="0" applyNumberFormat="1" applyFont="1" applyFill="1" applyBorder="1" applyAlignment="1">
      <alignment horizontal="center" vertical="center" wrapText="1"/>
    </xf>
    <xf numFmtId="168" fontId="79" fillId="33" borderId="22" xfId="0" applyNumberFormat="1" applyFont="1" applyFill="1" applyBorder="1" applyAlignment="1">
      <alignment horizontal="center" vertical="center"/>
    </xf>
    <xf numFmtId="168" fontId="79" fillId="33" borderId="34" xfId="0" applyNumberFormat="1" applyFont="1" applyFill="1" applyBorder="1" applyAlignment="1">
      <alignment horizontal="center" vertical="center"/>
    </xf>
    <xf numFmtId="168" fontId="5" fillId="33" borderId="22" xfId="0" applyNumberFormat="1" applyFont="1" applyFill="1" applyBorder="1" applyAlignment="1">
      <alignment horizontal="center" vertical="center" wrapText="1"/>
    </xf>
    <xf numFmtId="9" fontId="5" fillId="33" borderId="22" xfId="0" applyNumberFormat="1" applyFont="1" applyFill="1" applyBorder="1" applyAlignment="1">
      <alignment horizontal="center" vertical="center"/>
    </xf>
    <xf numFmtId="9" fontId="5" fillId="33" borderId="34" xfId="0" applyNumberFormat="1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vertical="center" wrapText="1"/>
    </xf>
    <xf numFmtId="0" fontId="81" fillId="33" borderId="40" xfId="0" applyFont="1" applyFill="1" applyBorder="1" applyAlignment="1">
      <alignment vertical="center" wrapText="1"/>
    </xf>
    <xf numFmtId="0" fontId="81" fillId="33" borderId="14" xfId="0" applyFont="1" applyFill="1" applyBorder="1" applyAlignment="1">
      <alignment vertical="center" wrapText="1"/>
    </xf>
    <xf numFmtId="0" fontId="81" fillId="33" borderId="35" xfId="0" applyFont="1" applyFill="1" applyBorder="1" applyAlignment="1">
      <alignment vertical="center" wrapText="1"/>
    </xf>
    <xf numFmtId="3" fontId="81" fillId="33" borderId="38" xfId="0" applyNumberFormat="1" applyFont="1" applyFill="1" applyBorder="1" applyAlignment="1">
      <alignment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9" fontId="5" fillId="33" borderId="38" xfId="0" applyNumberFormat="1" applyFont="1" applyFill="1" applyBorder="1" applyAlignment="1">
      <alignment horizontal="center" vertical="center" wrapText="1"/>
    </xf>
    <xf numFmtId="9" fontId="5" fillId="33" borderId="38" xfId="0" applyNumberFormat="1" applyFont="1" applyFill="1" applyBorder="1" applyAlignment="1">
      <alignment horizontal="center" vertical="center"/>
    </xf>
    <xf numFmtId="9" fontId="5" fillId="33" borderId="40" xfId="0" applyNumberFormat="1" applyFont="1" applyFill="1" applyBorder="1" applyAlignment="1">
      <alignment horizontal="center" vertical="center"/>
    </xf>
    <xf numFmtId="9" fontId="5" fillId="33" borderId="14" xfId="0" applyNumberFormat="1" applyFont="1" applyFill="1" applyBorder="1" applyAlignment="1">
      <alignment horizontal="center" vertical="center"/>
    </xf>
    <xf numFmtId="9" fontId="5" fillId="33" borderId="35" xfId="0" applyNumberFormat="1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horizontal="center" vertical="center" wrapText="1"/>
    </xf>
    <xf numFmtId="3" fontId="5" fillId="33" borderId="38" xfId="0" applyNumberFormat="1" applyFont="1" applyFill="1" applyBorder="1" applyAlignment="1">
      <alignment horizontal="center" vertical="center" wrapText="1"/>
    </xf>
    <xf numFmtId="3" fontId="5" fillId="33" borderId="40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>
      <alignment horizontal="center" vertical="center" wrapText="1"/>
    </xf>
    <xf numFmtId="9" fontId="5" fillId="33" borderId="34" xfId="0" applyNumberFormat="1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9" fontId="5" fillId="33" borderId="38" xfId="60" applyFont="1" applyFill="1" applyBorder="1" applyAlignment="1">
      <alignment horizontal="center" vertical="center" wrapText="1"/>
    </xf>
    <xf numFmtId="9" fontId="5" fillId="33" borderId="40" xfId="60" applyFont="1" applyFill="1" applyBorder="1" applyAlignment="1">
      <alignment horizontal="center" vertical="center" wrapText="1"/>
    </xf>
    <xf numFmtId="9" fontId="5" fillId="33" borderId="14" xfId="60" applyFont="1" applyFill="1" applyBorder="1" applyAlignment="1">
      <alignment horizontal="center" vertical="center" wrapText="1"/>
    </xf>
    <xf numFmtId="9" fontId="5" fillId="33" borderId="35" xfId="60" applyFont="1" applyFill="1" applyBorder="1" applyAlignment="1">
      <alignment horizontal="center" vertical="center" wrapText="1"/>
    </xf>
    <xf numFmtId="3" fontId="79" fillId="33" borderId="38" xfId="0" applyNumberFormat="1" applyFont="1" applyFill="1" applyBorder="1" applyAlignment="1">
      <alignment horizontal="center" vertical="center" wrapText="1"/>
    </xf>
    <xf numFmtId="1" fontId="79" fillId="33" borderId="38" xfId="0" applyNumberFormat="1" applyFont="1" applyFill="1" applyBorder="1" applyAlignment="1">
      <alignment horizontal="center" vertical="center" wrapText="1"/>
    </xf>
    <xf numFmtId="9" fontId="79" fillId="33" borderId="38" xfId="0" applyNumberFormat="1" applyFont="1" applyFill="1" applyBorder="1" applyAlignment="1">
      <alignment vertical="center" wrapText="1"/>
    </xf>
    <xf numFmtId="9" fontId="5" fillId="33" borderId="38" xfId="0" applyNumberFormat="1" applyFont="1" applyFill="1" applyBorder="1" applyAlignment="1">
      <alignment vertical="center" wrapText="1"/>
    </xf>
    <xf numFmtId="9" fontId="5" fillId="33" borderId="40" xfId="0" applyNumberFormat="1" applyFont="1" applyFill="1" applyBorder="1" applyAlignment="1">
      <alignment vertical="center" wrapText="1"/>
    </xf>
    <xf numFmtId="9" fontId="5" fillId="33" borderId="14" xfId="0" applyNumberFormat="1" applyFont="1" applyFill="1" applyBorder="1" applyAlignment="1">
      <alignment vertical="center" wrapText="1"/>
    </xf>
    <xf numFmtId="9" fontId="5" fillId="33" borderId="35" xfId="0" applyNumberFormat="1" applyFont="1" applyFill="1" applyBorder="1" applyAlignment="1">
      <alignment vertical="center" wrapText="1"/>
    </xf>
    <xf numFmtId="9" fontId="5" fillId="33" borderId="40" xfId="60" applyFont="1" applyFill="1" applyBorder="1" applyAlignment="1">
      <alignment vertical="center" wrapText="1"/>
    </xf>
    <xf numFmtId="9" fontId="5" fillId="33" borderId="14" xfId="60" applyFont="1" applyFill="1" applyBorder="1" applyAlignment="1">
      <alignment vertical="center" wrapText="1"/>
    </xf>
    <xf numFmtId="9" fontId="5" fillId="33" borderId="35" xfId="60" applyFont="1" applyFill="1" applyBorder="1" applyAlignment="1">
      <alignment vertical="center" wrapText="1"/>
    </xf>
    <xf numFmtId="1" fontId="5" fillId="33" borderId="38" xfId="0" applyNumberFormat="1" applyFont="1" applyFill="1" applyBorder="1" applyAlignment="1">
      <alignment vertical="center" wrapText="1"/>
    </xf>
    <xf numFmtId="1" fontId="5" fillId="33" borderId="38" xfId="60" applyNumberFormat="1" applyFont="1" applyFill="1" applyBorder="1" applyAlignment="1">
      <alignment horizontal="center" vertical="center" wrapText="1"/>
    </xf>
    <xf numFmtId="1" fontId="5" fillId="33" borderId="40" xfId="60" applyNumberFormat="1" applyFont="1" applyFill="1" applyBorder="1" applyAlignment="1">
      <alignment vertical="center" wrapText="1"/>
    </xf>
    <xf numFmtId="1" fontId="5" fillId="33" borderId="14" xfId="60" applyNumberFormat="1" applyFont="1" applyFill="1" applyBorder="1" applyAlignment="1">
      <alignment vertical="center" wrapText="1"/>
    </xf>
    <xf numFmtId="1" fontId="5" fillId="33" borderId="35" xfId="60" applyNumberFormat="1" applyFont="1" applyFill="1" applyBorder="1" applyAlignment="1">
      <alignment vertical="center" wrapText="1"/>
    </xf>
    <xf numFmtId="0" fontId="5" fillId="33" borderId="40" xfId="0" applyFont="1" applyFill="1" applyBorder="1" applyAlignment="1">
      <alignment horizontal="center" vertical="center" wrapText="1"/>
    </xf>
    <xf numFmtId="3" fontId="5" fillId="33" borderId="40" xfId="0" applyNumberFormat="1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vertical="center" wrapText="1"/>
    </xf>
    <xf numFmtId="3" fontId="5" fillId="33" borderId="35" xfId="0" applyNumberFormat="1" applyFont="1" applyFill="1" applyBorder="1" applyAlignment="1">
      <alignment vertical="center" wrapText="1"/>
    </xf>
    <xf numFmtId="0" fontId="5" fillId="33" borderId="41" xfId="0" applyFont="1" applyFill="1" applyBorder="1" applyAlignment="1">
      <alignment/>
    </xf>
    <xf numFmtId="164" fontId="5" fillId="33" borderId="42" xfId="0" applyNumberFormat="1" applyFont="1" applyFill="1" applyBorder="1" applyAlignment="1">
      <alignment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7" fillId="0" borderId="38" xfId="0" applyNumberFormat="1" applyFont="1" applyFill="1" applyBorder="1" applyAlignment="1">
      <alignment horizontal="right" vertical="center"/>
    </xf>
    <xf numFmtId="164" fontId="16" fillId="0" borderId="38" xfId="0" applyNumberFormat="1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left" vertical="center" wrapText="1"/>
    </xf>
    <xf numFmtId="165" fontId="16" fillId="0" borderId="38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/>
    </xf>
    <xf numFmtId="0" fontId="16" fillId="0" borderId="38" xfId="0" applyFont="1" applyFill="1" applyBorder="1" applyAlignment="1">
      <alignment/>
    </xf>
    <xf numFmtId="0" fontId="16" fillId="0" borderId="38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164" fontId="17" fillId="33" borderId="38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164" fontId="24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45" xfId="52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vertical="center" wrapText="1"/>
    </xf>
    <xf numFmtId="0" fontId="16" fillId="0" borderId="47" xfId="52" applyFont="1" applyFill="1" applyBorder="1" applyAlignment="1">
      <alignment horizontal="center" vertical="center" wrapText="1"/>
      <protection/>
    </xf>
    <xf numFmtId="0" fontId="4" fillId="0" borderId="46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7" fillId="0" borderId="38" xfId="0" applyNumberFormat="1" applyFont="1" applyFill="1" applyBorder="1" applyAlignment="1">
      <alignment horizontal="right"/>
    </xf>
    <xf numFmtId="0" fontId="16" fillId="0" borderId="50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38" xfId="52" applyFont="1" applyFill="1" applyBorder="1" applyAlignment="1">
      <alignment horizontal="center" vertical="center" wrapText="1"/>
      <protection/>
    </xf>
    <xf numFmtId="0" fontId="16" fillId="0" borderId="47" xfId="0" applyFont="1" applyFill="1" applyBorder="1" applyAlignment="1">
      <alignment horizontal="center" vertical="center" wrapText="1"/>
    </xf>
    <xf numFmtId="0" fontId="16" fillId="0" borderId="46" xfId="52" applyFont="1" applyFill="1" applyBorder="1" applyAlignment="1">
      <alignment horizontal="center" vertical="center" wrapText="1"/>
      <protection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 wrapText="1"/>
    </xf>
    <xf numFmtId="164" fontId="17" fillId="0" borderId="45" xfId="0" applyNumberFormat="1" applyFont="1" applyFill="1" applyBorder="1" applyAlignment="1">
      <alignment horizontal="right"/>
    </xf>
    <xf numFmtId="164" fontId="17" fillId="0" borderId="43" xfId="0" applyNumberFormat="1" applyFont="1" applyFill="1" applyBorder="1" applyAlignment="1">
      <alignment horizontal="right"/>
    </xf>
    <xf numFmtId="0" fontId="16" fillId="0" borderId="43" xfId="0" applyFont="1" applyFill="1" applyBorder="1" applyAlignment="1">
      <alignment/>
    </xf>
    <xf numFmtId="164" fontId="16" fillId="0" borderId="43" xfId="0" applyNumberFormat="1" applyFont="1" applyFill="1" applyBorder="1" applyAlignment="1">
      <alignment horizontal="right" vertical="center"/>
    </xf>
    <xf numFmtId="164" fontId="17" fillId="0" borderId="4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6" fillId="0" borderId="38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164" fontId="61" fillId="0" borderId="0" xfId="0" applyNumberFormat="1" applyFont="1" applyFill="1" applyAlignment="1">
      <alignment/>
    </xf>
    <xf numFmtId="0" fontId="61" fillId="0" borderId="46" xfId="0" applyFont="1" applyFill="1" applyBorder="1" applyAlignment="1">
      <alignment horizontal="center" vertical="center" wrapText="1"/>
    </xf>
    <xf numFmtId="0" fontId="61" fillId="0" borderId="46" xfId="52" applyFont="1" applyFill="1" applyBorder="1" applyAlignment="1">
      <alignment horizontal="center" vertical="center" wrapText="1"/>
      <protection/>
    </xf>
    <xf numFmtId="0" fontId="61" fillId="0" borderId="57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164" fontId="69" fillId="0" borderId="38" xfId="0" applyNumberFormat="1" applyFont="1" applyFill="1" applyBorder="1" applyAlignment="1">
      <alignment horizontal="right"/>
    </xf>
    <xf numFmtId="0" fontId="61" fillId="0" borderId="38" xfId="0" applyFont="1" applyFill="1" applyBorder="1" applyAlignment="1">
      <alignment/>
    </xf>
    <xf numFmtId="164" fontId="61" fillId="0" borderId="38" xfId="0" applyNumberFormat="1" applyFont="1" applyFill="1" applyBorder="1" applyAlignment="1">
      <alignment horizontal="right" vertical="center"/>
    </xf>
    <xf numFmtId="164" fontId="69" fillId="0" borderId="38" xfId="0" applyNumberFormat="1" applyFont="1" applyFill="1" applyBorder="1" applyAlignment="1">
      <alignment horizontal="right" vertical="center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0" fontId="61" fillId="0" borderId="0" xfId="0" applyFont="1" applyFill="1" applyAlignment="1">
      <alignment horizontal="left" vertical="center"/>
    </xf>
    <xf numFmtId="0" fontId="61" fillId="0" borderId="50" xfId="0" applyFont="1" applyFill="1" applyBorder="1" applyAlignment="1">
      <alignment vertical="center" wrapText="1"/>
    </xf>
    <xf numFmtId="0" fontId="61" fillId="0" borderId="51" xfId="0" applyFont="1" applyFill="1" applyBorder="1" applyAlignment="1">
      <alignment vertical="center" wrapText="1"/>
    </xf>
    <xf numFmtId="0" fontId="82" fillId="0" borderId="5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vertical="center" wrapText="1"/>
    </xf>
    <xf numFmtId="0" fontId="61" fillId="0" borderId="53" xfId="0" applyFont="1" applyFill="1" applyBorder="1" applyAlignment="1">
      <alignment vertical="center" wrapText="1"/>
    </xf>
    <xf numFmtId="0" fontId="61" fillId="0" borderId="54" xfId="0" applyFont="1" applyFill="1" applyBorder="1" applyAlignment="1">
      <alignment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wrapText="1"/>
    </xf>
    <xf numFmtId="0" fontId="0" fillId="0" borderId="0" xfId="0" applyFill="1" applyAlignment="1">
      <alignment/>
    </xf>
    <xf numFmtId="0" fontId="61" fillId="0" borderId="39" xfId="0" applyFont="1" applyFill="1" applyBorder="1" applyAlignment="1">
      <alignment horizontal="right" vertical="center" wrapText="1"/>
    </xf>
    <xf numFmtId="0" fontId="61" fillId="0" borderId="24" xfId="0" applyFont="1" applyFill="1" applyBorder="1" applyAlignment="1">
      <alignment horizontal="right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right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right" vertical="center" wrapText="1"/>
    </xf>
    <xf numFmtId="0" fontId="61" fillId="0" borderId="23" xfId="0" applyFont="1" applyFill="1" applyBorder="1" applyAlignment="1">
      <alignment horizontal="right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164" fontId="16" fillId="0" borderId="34" xfId="0" applyNumberFormat="1" applyFont="1" applyFill="1" applyBorder="1" applyAlignment="1">
      <alignment vertical="center" wrapText="1"/>
    </xf>
    <xf numFmtId="164" fontId="16" fillId="0" borderId="22" xfId="0" applyNumberFormat="1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9" fontId="83" fillId="0" borderId="38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21" fillId="0" borderId="38" xfId="0" applyNumberFormat="1" applyFont="1" applyFill="1" applyBorder="1" applyAlignment="1">
      <alignment horizontal="center" vertical="center" wrapText="1"/>
    </xf>
    <xf numFmtId="164" fontId="21" fillId="0" borderId="38" xfId="0" applyNumberFormat="1" applyFont="1" applyFill="1" applyBorder="1" applyAlignment="1">
      <alignment horizontal="left" vertical="center" wrapText="1"/>
    </xf>
    <xf numFmtId="164" fontId="20" fillId="0" borderId="38" xfId="0" applyNumberFormat="1" applyFont="1" applyFill="1" applyBorder="1" applyAlignment="1">
      <alignment horizontal="left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4" fontId="20" fillId="0" borderId="43" xfId="0" applyNumberFormat="1" applyFont="1" applyFill="1" applyBorder="1" applyAlignment="1">
      <alignment horizontal="left" vertical="center" wrapText="1"/>
    </xf>
    <xf numFmtId="164" fontId="20" fillId="0" borderId="38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1" fontId="21" fillId="33" borderId="3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right" vertical="center"/>
    </xf>
    <xf numFmtId="0" fontId="84" fillId="0" borderId="5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61" fillId="0" borderId="38" xfId="52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vertical="center" wrapText="1"/>
    </xf>
    <xf numFmtId="9" fontId="4" fillId="0" borderId="22" xfId="60" applyFont="1" applyFill="1" applyBorder="1" applyAlignment="1">
      <alignment horizontal="center" vertical="center" wrapText="1"/>
    </xf>
    <xf numFmtId="9" fontId="4" fillId="0" borderId="34" xfId="60" applyFont="1" applyFill="1" applyBorder="1" applyAlignment="1">
      <alignment horizontal="center" vertical="center" wrapText="1"/>
    </xf>
    <xf numFmtId="164" fontId="61" fillId="0" borderId="38" xfId="0" applyNumberFormat="1" applyFont="1" applyFill="1" applyBorder="1" applyAlignment="1">
      <alignment horizontal="right"/>
    </xf>
    <xf numFmtId="9" fontId="4" fillId="0" borderId="22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1" fillId="0" borderId="43" xfId="52" applyFont="1" applyFill="1" applyBorder="1" applyAlignment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61" fillId="0" borderId="10" xfId="52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1" fillId="0" borderId="61" xfId="0" applyFont="1" applyFill="1" applyBorder="1" applyAlignment="1">
      <alignment horizontal="center" vertical="center" wrapText="1"/>
    </xf>
    <xf numFmtId="0" fontId="17" fillId="0" borderId="0" xfId="53" applyFont="1" applyFill="1" applyAlignment="1">
      <alignment horizontal="center"/>
      <protection/>
    </xf>
    <xf numFmtId="0" fontId="16" fillId="0" borderId="0" xfId="53" applyFont="1" applyFill="1">
      <alignment/>
      <protection/>
    </xf>
    <xf numFmtId="0" fontId="17" fillId="0" borderId="0" xfId="53" applyFont="1" applyFill="1" applyAlignment="1">
      <alignment horizontal="left"/>
      <protection/>
    </xf>
    <xf numFmtId="0" fontId="16" fillId="0" borderId="0" xfId="53" applyFont="1" applyFill="1" applyAlignment="1">
      <alignment horizontal="right" wrapText="1"/>
      <protection/>
    </xf>
    <xf numFmtId="164" fontId="16" fillId="0" borderId="0" xfId="53" applyNumberFormat="1" applyFont="1" applyFill="1">
      <alignment/>
      <protection/>
    </xf>
    <xf numFmtId="170" fontId="16" fillId="0" borderId="0" xfId="63" applyNumberFormat="1" applyFont="1" applyFill="1" applyAlignment="1">
      <alignment/>
    </xf>
    <xf numFmtId="164" fontId="77" fillId="0" borderId="0" xfId="53" applyNumberFormat="1" applyFont="1" applyFill="1">
      <alignment/>
      <protection/>
    </xf>
    <xf numFmtId="0" fontId="17" fillId="0" borderId="0" xfId="53" applyFont="1" applyFill="1" applyAlignment="1">
      <alignment/>
      <protection/>
    </xf>
    <xf numFmtId="0" fontId="69" fillId="0" borderId="0" xfId="0" applyFont="1" applyFill="1" applyAlignment="1">
      <alignment/>
    </xf>
    <xf numFmtId="0" fontId="17" fillId="0" borderId="0" xfId="53" applyFont="1" applyFill="1" applyAlignment="1">
      <alignment horizontal="right" wrapText="1"/>
      <protection/>
    </xf>
    <xf numFmtId="0" fontId="17" fillId="0" borderId="0" xfId="53" applyFont="1" applyFill="1">
      <alignment/>
      <protection/>
    </xf>
    <xf numFmtId="0" fontId="17" fillId="0" borderId="62" xfId="53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164" fontId="77" fillId="0" borderId="0" xfId="0" applyNumberFormat="1" applyFont="1" applyFill="1" applyAlignment="1">
      <alignment/>
    </xf>
    <xf numFmtId="3" fontId="16" fillId="0" borderId="0" xfId="53" applyNumberFormat="1" applyFont="1" applyFill="1">
      <alignment/>
      <protection/>
    </xf>
    <xf numFmtId="3" fontId="17" fillId="0" borderId="0" xfId="53" applyNumberFormat="1" applyFont="1" applyFill="1">
      <alignment/>
      <protection/>
    </xf>
    <xf numFmtId="167" fontId="16" fillId="0" borderId="3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/>
    </xf>
    <xf numFmtId="0" fontId="61" fillId="0" borderId="44" xfId="0" applyFont="1" applyFill="1" applyBorder="1" applyAlignment="1">
      <alignment/>
    </xf>
    <xf numFmtId="0" fontId="83" fillId="0" borderId="0" xfId="0" applyFont="1" applyFill="1" applyBorder="1" applyAlignment="1">
      <alignment horizontal="left" vertical="center" wrapText="1"/>
    </xf>
    <xf numFmtId="0" fontId="61" fillId="0" borderId="63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0" fontId="83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64" fontId="69" fillId="33" borderId="38" xfId="0" applyNumberFormat="1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164" fontId="69" fillId="0" borderId="38" xfId="0" applyNumberFormat="1" applyFont="1" applyFill="1" applyBorder="1" applyAlignment="1">
      <alignment/>
    </xf>
    <xf numFmtId="164" fontId="61" fillId="0" borderId="38" xfId="0" applyNumberFormat="1" applyFont="1" applyFill="1" applyBorder="1" applyAlignment="1">
      <alignment vertical="center"/>
    </xf>
    <xf numFmtId="0" fontId="5" fillId="33" borderId="65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5" fillId="33" borderId="66" xfId="0" applyNumberFormat="1" applyFont="1" applyFill="1" applyBorder="1" applyAlignment="1">
      <alignment horizontal="center" vertical="center" wrapText="1"/>
    </xf>
    <xf numFmtId="164" fontId="16" fillId="0" borderId="67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167" fontId="61" fillId="0" borderId="38" xfId="0" applyNumberFormat="1" applyFont="1" applyFill="1" applyBorder="1" applyAlignment="1">
      <alignment vertical="center" wrapText="1"/>
    </xf>
    <xf numFmtId="0" fontId="61" fillId="0" borderId="68" xfId="0" applyFont="1" applyFill="1" applyBorder="1" applyAlignment="1">
      <alignment horizontal="right" vertical="center" wrapText="1"/>
    </xf>
    <xf numFmtId="0" fontId="61" fillId="0" borderId="67" xfId="0" applyFont="1" applyFill="1" applyBorder="1" applyAlignment="1">
      <alignment horizontal="right" vertical="center" wrapText="1"/>
    </xf>
    <xf numFmtId="0" fontId="61" fillId="0" borderId="31" xfId="0" applyFont="1" applyFill="1" applyBorder="1" applyAlignment="1">
      <alignment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61" fillId="0" borderId="59" xfId="0" applyFont="1" applyFill="1" applyBorder="1" applyAlignment="1">
      <alignment horizontal="left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164" fontId="61" fillId="0" borderId="0" xfId="0" applyNumberFormat="1" applyFont="1" applyFill="1" applyBorder="1" applyAlignment="1">
      <alignment/>
    </xf>
    <xf numFmtId="0" fontId="61" fillId="0" borderId="69" xfId="0" applyFont="1" applyFill="1" applyBorder="1" applyAlignment="1">
      <alignment vertical="center" wrapText="1"/>
    </xf>
    <xf numFmtId="0" fontId="85" fillId="0" borderId="51" xfId="0" applyFont="1" applyFill="1" applyBorder="1" applyAlignment="1">
      <alignment vertical="center" wrapText="1"/>
    </xf>
    <xf numFmtId="0" fontId="36" fillId="33" borderId="38" xfId="0" applyFont="1" applyFill="1" applyBorder="1" applyAlignment="1">
      <alignment vertical="center" wrapText="1"/>
    </xf>
    <xf numFmtId="0" fontId="36" fillId="33" borderId="43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vertical="center" wrapText="1"/>
    </xf>
    <xf numFmtId="0" fontId="36" fillId="33" borderId="38" xfId="0" applyFont="1" applyFill="1" applyBorder="1" applyAlignment="1">
      <alignment horizontal="center" vertical="center" wrapText="1"/>
    </xf>
    <xf numFmtId="3" fontId="4" fillId="33" borderId="38" xfId="0" applyNumberFormat="1" applyFont="1" applyFill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35" xfId="0" applyNumberFormat="1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7" fontId="61" fillId="0" borderId="38" xfId="0" applyNumberFormat="1" applyFont="1" applyFill="1" applyBorder="1" applyAlignment="1">
      <alignment/>
    </xf>
    <xf numFmtId="9" fontId="36" fillId="33" borderId="22" xfId="0" applyNumberFormat="1" applyFont="1" applyFill="1" applyBorder="1" applyAlignment="1">
      <alignment horizontal="center" vertical="center" wrapText="1"/>
    </xf>
    <xf numFmtId="9" fontId="36" fillId="33" borderId="34" xfId="0" applyNumberFormat="1" applyFont="1" applyFill="1" applyBorder="1" applyAlignment="1">
      <alignment horizontal="center" vertical="center" wrapText="1"/>
    </xf>
    <xf numFmtId="164" fontId="61" fillId="0" borderId="38" xfId="0" applyNumberFormat="1" applyFont="1" applyFill="1" applyBorder="1" applyAlignment="1">
      <alignment/>
    </xf>
    <xf numFmtId="0" fontId="38" fillId="33" borderId="38" xfId="0" applyFont="1" applyFill="1" applyBorder="1" applyAlignment="1">
      <alignment vertical="center" wrapText="1"/>
    </xf>
    <xf numFmtId="3" fontId="36" fillId="33" borderId="38" xfId="0" applyNumberFormat="1" applyFont="1" applyFill="1" applyBorder="1" applyAlignment="1">
      <alignment horizontal="center" vertical="center" wrapText="1"/>
    </xf>
    <xf numFmtId="3" fontId="36" fillId="33" borderId="40" xfId="0" applyNumberFormat="1" applyFont="1" applyFill="1" applyBorder="1" applyAlignment="1">
      <alignment horizontal="center" vertical="center" wrapText="1"/>
    </xf>
    <xf numFmtId="3" fontId="36" fillId="33" borderId="14" xfId="0" applyNumberFormat="1" applyFont="1" applyFill="1" applyBorder="1" applyAlignment="1">
      <alignment horizontal="center" vertical="center" wrapText="1"/>
    </xf>
    <xf numFmtId="3" fontId="36" fillId="33" borderId="35" xfId="0" applyNumberFormat="1" applyFont="1" applyFill="1" applyBorder="1" applyAlignment="1">
      <alignment horizontal="center" vertical="center" wrapText="1"/>
    </xf>
    <xf numFmtId="9" fontId="38" fillId="33" borderId="38" xfId="60" applyFont="1" applyFill="1" applyBorder="1" applyAlignment="1">
      <alignment horizontal="center" vertical="center" wrapText="1"/>
    </xf>
    <xf numFmtId="1" fontId="36" fillId="33" borderId="38" xfId="0" applyNumberFormat="1" applyFont="1" applyFill="1" applyBorder="1" applyAlignment="1">
      <alignment horizontal="center" vertical="center" wrapText="1"/>
    </xf>
    <xf numFmtId="1" fontId="36" fillId="33" borderId="40" xfId="0" applyNumberFormat="1" applyFont="1" applyFill="1" applyBorder="1" applyAlignment="1">
      <alignment horizontal="center" vertical="center" wrapText="1"/>
    </xf>
    <xf numFmtId="1" fontId="36" fillId="33" borderId="14" xfId="0" applyNumberFormat="1" applyFont="1" applyFill="1" applyBorder="1" applyAlignment="1">
      <alignment horizontal="center" vertical="center" wrapText="1"/>
    </xf>
    <xf numFmtId="1" fontId="36" fillId="33" borderId="35" xfId="0" applyNumberFormat="1" applyFont="1" applyFill="1" applyBorder="1" applyAlignment="1">
      <alignment horizontal="center" vertical="center" wrapText="1"/>
    </xf>
    <xf numFmtId="9" fontId="36" fillId="33" borderId="38" xfId="60" applyFont="1" applyFill="1" applyBorder="1" applyAlignment="1">
      <alignment horizontal="center" vertical="center" wrapText="1"/>
    </xf>
    <xf numFmtId="9" fontId="36" fillId="33" borderId="40" xfId="60" applyFont="1" applyFill="1" applyBorder="1" applyAlignment="1">
      <alignment horizontal="center" vertical="center" wrapText="1"/>
    </xf>
    <xf numFmtId="9" fontId="36" fillId="33" borderId="14" xfId="60" applyFont="1" applyFill="1" applyBorder="1" applyAlignment="1">
      <alignment horizontal="center" vertical="center" wrapText="1"/>
    </xf>
    <xf numFmtId="9" fontId="36" fillId="33" borderId="35" xfId="60" applyFont="1" applyFill="1" applyBorder="1" applyAlignment="1">
      <alignment horizontal="center" vertical="center" wrapText="1"/>
    </xf>
    <xf numFmtId="3" fontId="36" fillId="33" borderId="0" xfId="0" applyNumberFormat="1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vertical="center" wrapText="1"/>
    </xf>
    <xf numFmtId="0" fontId="38" fillId="33" borderId="38" xfId="0" applyFont="1" applyFill="1" applyBorder="1" applyAlignment="1">
      <alignment horizontal="center" vertical="center" wrapText="1"/>
    </xf>
    <xf numFmtId="1" fontId="36" fillId="33" borderId="0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9" fontId="36" fillId="33" borderId="38" xfId="0" applyNumberFormat="1" applyFont="1" applyFill="1" applyBorder="1" applyAlignment="1">
      <alignment vertical="center" wrapText="1"/>
    </xf>
    <xf numFmtId="9" fontId="36" fillId="33" borderId="0" xfId="0" applyNumberFormat="1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0" fontId="61" fillId="0" borderId="71" xfId="52" applyFont="1" applyFill="1" applyBorder="1" applyAlignment="1">
      <alignment horizontal="center" vertical="center" wrapText="1"/>
      <protection/>
    </xf>
    <xf numFmtId="0" fontId="36" fillId="0" borderId="72" xfId="0" applyFont="1" applyFill="1" applyBorder="1" applyAlignment="1">
      <alignment vertical="center" wrapText="1"/>
    </xf>
    <xf numFmtId="9" fontId="36" fillId="33" borderId="38" xfId="0" applyNumberFormat="1" applyFont="1" applyFill="1" applyBorder="1" applyAlignment="1">
      <alignment horizontal="center" vertical="center" wrapText="1"/>
    </xf>
    <xf numFmtId="9" fontId="36" fillId="33" borderId="40" xfId="0" applyNumberFormat="1" applyFont="1" applyFill="1" applyBorder="1" applyAlignment="1">
      <alignment horizontal="center" vertical="center" wrapText="1"/>
    </xf>
    <xf numFmtId="9" fontId="36" fillId="33" borderId="14" xfId="0" applyNumberFormat="1" applyFont="1" applyFill="1" applyBorder="1" applyAlignment="1">
      <alignment horizontal="center" vertical="center" wrapText="1"/>
    </xf>
    <xf numFmtId="9" fontId="36" fillId="33" borderId="35" xfId="0" applyNumberFormat="1" applyFont="1" applyFill="1" applyBorder="1" applyAlignment="1">
      <alignment horizontal="center" vertical="center" wrapText="1"/>
    </xf>
    <xf numFmtId="9" fontId="5" fillId="33" borderId="0" xfId="60" applyFont="1" applyFill="1" applyBorder="1" applyAlignment="1">
      <alignment vertical="center" wrapText="1"/>
    </xf>
    <xf numFmtId="0" fontId="38" fillId="0" borderId="38" xfId="0" applyFont="1" applyFill="1" applyBorder="1" applyAlignment="1">
      <alignment vertical="center" wrapText="1"/>
    </xf>
    <xf numFmtId="9" fontId="36" fillId="33" borderId="38" xfId="0" applyNumberFormat="1" applyFont="1" applyFill="1" applyBorder="1" applyAlignment="1">
      <alignment horizontal="center" vertical="center"/>
    </xf>
    <xf numFmtId="9" fontId="36" fillId="33" borderId="40" xfId="0" applyNumberFormat="1" applyFont="1" applyFill="1" applyBorder="1" applyAlignment="1">
      <alignment horizontal="center" vertical="center"/>
    </xf>
    <xf numFmtId="9" fontId="36" fillId="33" borderId="14" xfId="0" applyNumberFormat="1" applyFont="1" applyFill="1" applyBorder="1" applyAlignment="1">
      <alignment horizontal="center" vertical="center"/>
    </xf>
    <xf numFmtId="9" fontId="36" fillId="33" borderId="35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167" fontId="61" fillId="0" borderId="0" xfId="0" applyNumberFormat="1" applyFont="1" applyFill="1" applyAlignment="1">
      <alignment/>
    </xf>
    <xf numFmtId="0" fontId="61" fillId="0" borderId="44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/>
    </xf>
    <xf numFmtId="0" fontId="86" fillId="0" borderId="38" xfId="0" applyFont="1" applyFill="1" applyBorder="1" applyAlignment="1">
      <alignment horizontal="center"/>
    </xf>
    <xf numFmtId="0" fontId="86" fillId="0" borderId="38" xfId="0" applyFont="1" applyFill="1" applyBorder="1" applyAlignment="1">
      <alignment horizontal="center" vertical="center" wrapText="1"/>
    </xf>
    <xf numFmtId="164" fontId="86" fillId="0" borderId="38" xfId="0" applyNumberFormat="1" applyFont="1" applyFill="1" applyBorder="1" applyAlignment="1">
      <alignment horizontal="right" vertical="center"/>
    </xf>
    <xf numFmtId="0" fontId="86" fillId="0" borderId="38" xfId="0" applyFont="1" applyFill="1" applyBorder="1" applyAlignment="1">
      <alignment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5" fillId="0" borderId="75" xfId="0" applyNumberFormat="1" applyFont="1" applyFill="1" applyBorder="1" applyAlignment="1">
      <alignment horizontal="center" vertical="center" wrapText="1"/>
    </xf>
    <xf numFmtId="164" fontId="5" fillId="0" borderId="76" xfId="0" applyNumberFormat="1" applyFont="1" applyFill="1" applyBorder="1" applyAlignment="1">
      <alignment horizontal="center" vertical="center" wrapText="1"/>
    </xf>
    <xf numFmtId="164" fontId="5" fillId="0" borderId="77" xfId="0" applyNumberFormat="1" applyFont="1" applyFill="1" applyBorder="1" applyAlignment="1">
      <alignment horizontal="center" vertical="center" wrapText="1"/>
    </xf>
    <xf numFmtId="164" fontId="5" fillId="33" borderId="39" xfId="0" applyNumberFormat="1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3" fontId="5" fillId="33" borderId="79" xfId="0" applyNumberFormat="1" applyFont="1" applyFill="1" applyBorder="1" applyAlignment="1">
      <alignment horizontal="center" vertical="center" wrapText="1"/>
    </xf>
    <xf numFmtId="0" fontId="81" fillId="33" borderId="40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35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vertical="center" wrapText="1"/>
    </xf>
    <xf numFmtId="0" fontId="61" fillId="0" borderId="0" xfId="54">
      <alignment/>
      <protection/>
    </xf>
    <xf numFmtId="171" fontId="16" fillId="0" borderId="0" xfId="0" applyNumberFormat="1" applyFont="1" applyFill="1" applyBorder="1" applyAlignment="1">
      <alignment vertical="center"/>
    </xf>
    <xf numFmtId="0" fontId="69" fillId="0" borderId="0" xfId="56" applyFont="1">
      <alignment/>
      <protection/>
    </xf>
    <xf numFmtId="164" fontId="69" fillId="0" borderId="38" xfId="0" applyNumberFormat="1" applyFont="1" applyFill="1" applyBorder="1" applyAlignment="1">
      <alignment vertical="center"/>
    </xf>
    <xf numFmtId="0" fontId="61" fillId="0" borderId="38" xfId="0" applyFont="1" applyFill="1" applyBorder="1" applyAlignment="1">
      <alignment/>
    </xf>
    <xf numFmtId="164" fontId="69" fillId="0" borderId="38" xfId="0" applyNumberFormat="1" applyFont="1" applyFill="1" applyBorder="1" applyAlignment="1">
      <alignment/>
    </xf>
    <xf numFmtId="164" fontId="61" fillId="0" borderId="38" xfId="0" applyNumberFormat="1" applyFont="1" applyFill="1" applyBorder="1" applyAlignment="1">
      <alignment vertical="center" wrapText="1"/>
    </xf>
    <xf numFmtId="0" fontId="87" fillId="0" borderId="0" xfId="0" applyFont="1" applyFill="1" applyAlignment="1">
      <alignment/>
    </xf>
    <xf numFmtId="164" fontId="87" fillId="0" borderId="0" xfId="0" applyNumberFormat="1" applyFont="1" applyFill="1" applyAlignment="1">
      <alignment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4" fontId="4" fillId="33" borderId="0" xfId="0" applyNumberFormat="1" applyFont="1" applyFill="1" applyAlignment="1">
      <alignment/>
    </xf>
    <xf numFmtId="164" fontId="39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8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left"/>
    </xf>
    <xf numFmtId="0" fontId="83" fillId="0" borderId="0" xfId="0" applyFont="1" applyFill="1" applyAlignment="1">
      <alignment/>
    </xf>
    <xf numFmtId="0" fontId="88" fillId="0" borderId="0" xfId="0" applyFont="1" applyFill="1" applyAlignment="1">
      <alignment horizontal="center"/>
    </xf>
    <xf numFmtId="0" fontId="83" fillId="0" borderId="54" xfId="0" applyFont="1" applyFill="1" applyBorder="1" applyAlignment="1">
      <alignment vertical="center" wrapText="1"/>
    </xf>
    <xf numFmtId="0" fontId="83" fillId="0" borderId="50" xfId="0" applyFont="1" applyFill="1" applyBorder="1" applyAlignment="1">
      <alignment vertical="center" wrapText="1"/>
    </xf>
    <xf numFmtId="0" fontId="83" fillId="0" borderId="52" xfId="0" applyFont="1" applyFill="1" applyBorder="1" applyAlignment="1">
      <alignment vertical="center" wrapText="1"/>
    </xf>
    <xf numFmtId="0" fontId="88" fillId="0" borderId="51" xfId="0" applyFont="1" applyFill="1" applyBorder="1" applyAlignment="1">
      <alignment horizontal="center" vertical="center" wrapText="1"/>
    </xf>
    <xf numFmtId="0" fontId="83" fillId="0" borderId="51" xfId="0" applyFont="1" applyFill="1" applyBorder="1" applyAlignment="1">
      <alignment vertical="center" wrapText="1"/>
    </xf>
    <xf numFmtId="0" fontId="8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right"/>
    </xf>
    <xf numFmtId="0" fontId="83" fillId="0" borderId="44" xfId="0" applyFont="1" applyFill="1" applyBorder="1" applyAlignment="1">
      <alignment horizontal="center" vertical="center" wrapText="1"/>
    </xf>
    <xf numFmtId="0" fontId="83" fillId="0" borderId="38" xfId="0" applyFont="1" applyFill="1" applyBorder="1" applyAlignment="1">
      <alignment horizontal="center" vertical="center"/>
    </xf>
    <xf numFmtId="0" fontId="83" fillId="0" borderId="43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 wrapText="1"/>
    </xf>
    <xf numFmtId="0" fontId="83" fillId="0" borderId="38" xfId="0" applyFont="1" applyFill="1" applyBorder="1" applyAlignment="1">
      <alignment/>
    </xf>
    <xf numFmtId="164" fontId="88" fillId="0" borderId="38" xfId="0" applyNumberFormat="1" applyFont="1" applyFill="1" applyBorder="1" applyAlignment="1">
      <alignment horizontal="right" vertical="center"/>
    </xf>
    <xf numFmtId="164" fontId="83" fillId="0" borderId="38" xfId="0" applyNumberFormat="1" applyFont="1" applyFill="1" applyBorder="1" applyAlignment="1">
      <alignment horizontal="right" vertical="center"/>
    </xf>
    <xf numFmtId="164" fontId="88" fillId="0" borderId="38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 horizontal="center" vertical="center" wrapText="1"/>
    </xf>
    <xf numFmtId="164" fontId="83" fillId="0" borderId="0" xfId="0" applyNumberFormat="1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vertical="center"/>
    </xf>
    <xf numFmtId="0" fontId="83" fillId="0" borderId="55" xfId="0" applyFont="1" applyFill="1" applyBorder="1" applyAlignment="1">
      <alignment horizontal="center" vertical="center" wrapText="1"/>
    </xf>
    <xf numFmtId="0" fontId="83" fillId="0" borderId="57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vertical="center"/>
    </xf>
    <xf numFmtId="0" fontId="83" fillId="0" borderId="81" xfId="0" applyFont="1" applyFill="1" applyBorder="1" applyAlignment="1">
      <alignment vertical="center" wrapText="1"/>
    </xf>
    <xf numFmtId="0" fontId="83" fillId="0" borderId="38" xfId="0" applyFont="1" applyFill="1" applyBorder="1" applyAlignment="1">
      <alignment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164" fontId="21" fillId="0" borderId="38" xfId="53" applyNumberFormat="1" applyFont="1" applyFill="1" applyBorder="1" applyAlignment="1">
      <alignment horizontal="right" vertical="center"/>
      <protection/>
    </xf>
    <xf numFmtId="164" fontId="83" fillId="0" borderId="0" xfId="0" applyNumberFormat="1" applyFont="1" applyFill="1" applyAlignment="1">
      <alignment/>
    </xf>
    <xf numFmtId="0" fontId="83" fillId="0" borderId="43" xfId="0" applyFont="1" applyFill="1" applyBorder="1" applyAlignment="1">
      <alignment horizontal="center" vertical="center" wrapText="1"/>
    </xf>
    <xf numFmtId="164" fontId="88" fillId="0" borderId="43" xfId="0" applyNumberFormat="1" applyFont="1" applyFill="1" applyBorder="1" applyAlignment="1">
      <alignment horizontal="right" vertical="center"/>
    </xf>
    <xf numFmtId="164" fontId="83" fillId="0" borderId="43" xfId="0" applyNumberFormat="1" applyFont="1" applyFill="1" applyBorder="1" applyAlignment="1">
      <alignment horizontal="right" vertical="center"/>
    </xf>
    <xf numFmtId="0" fontId="83" fillId="0" borderId="43" xfId="0" applyFont="1" applyFill="1" applyBorder="1" applyAlignment="1">
      <alignment/>
    </xf>
    <xf numFmtId="164" fontId="88" fillId="0" borderId="43" xfId="0" applyNumberFormat="1" applyFont="1" applyFill="1" applyBorder="1" applyAlignment="1">
      <alignment horizontal="right"/>
    </xf>
    <xf numFmtId="164" fontId="88" fillId="0" borderId="82" xfId="0" applyNumberFormat="1" applyFont="1" applyFill="1" applyBorder="1" applyAlignment="1">
      <alignment horizontal="right"/>
    </xf>
    <xf numFmtId="0" fontId="83" fillId="0" borderId="58" xfId="0" applyFont="1" applyFill="1" applyBorder="1" applyAlignment="1">
      <alignment horizontal="center" vertical="center" wrapText="1"/>
    </xf>
    <xf numFmtId="0" fontId="83" fillId="0" borderId="63" xfId="0" applyFont="1" applyFill="1" applyBorder="1" applyAlignment="1">
      <alignment vertical="center" wrapText="1"/>
    </xf>
    <xf numFmtId="0" fontId="21" fillId="33" borderId="83" xfId="0" applyFont="1" applyFill="1" applyBorder="1" applyAlignment="1">
      <alignment vertical="center" wrapText="1"/>
    </xf>
    <xf numFmtId="0" fontId="21" fillId="33" borderId="73" xfId="0" applyFont="1" applyFill="1" applyBorder="1" applyAlignment="1">
      <alignment horizontal="center" vertical="center" wrapText="1"/>
    </xf>
    <xf numFmtId="1" fontId="21" fillId="33" borderId="23" xfId="0" applyNumberFormat="1" applyFont="1" applyFill="1" applyBorder="1" applyAlignment="1">
      <alignment horizontal="center" vertical="center" wrapText="1"/>
    </xf>
    <xf numFmtId="1" fontId="21" fillId="33" borderId="33" xfId="0" applyNumberFormat="1" applyFont="1" applyFill="1" applyBorder="1" applyAlignment="1">
      <alignment horizontal="center" vertical="center" wrapText="1"/>
    </xf>
    <xf numFmtId="0" fontId="21" fillId="33" borderId="84" xfId="0" applyFont="1" applyFill="1" applyBorder="1" applyAlignment="1">
      <alignment vertical="center" wrapText="1"/>
    </xf>
    <xf numFmtId="0" fontId="21" fillId="33" borderId="85" xfId="0" applyFont="1" applyFill="1" applyBorder="1" applyAlignment="1">
      <alignment horizontal="center" vertical="center" wrapText="1"/>
    </xf>
    <xf numFmtId="1" fontId="89" fillId="33" borderId="31" xfId="0" applyNumberFormat="1" applyFont="1" applyFill="1" applyBorder="1" applyAlignment="1">
      <alignment horizontal="center" vertical="center" wrapText="1"/>
    </xf>
    <xf numFmtId="1" fontId="21" fillId="33" borderId="31" xfId="0" applyNumberFormat="1" applyFont="1" applyFill="1" applyBorder="1" applyAlignment="1">
      <alignment horizontal="center" vertical="center" wrapText="1"/>
    </xf>
    <xf numFmtId="1" fontId="21" fillId="33" borderId="59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37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/>
    </xf>
    <xf numFmtId="0" fontId="44" fillId="33" borderId="22" xfId="0" applyFont="1" applyFill="1" applyBorder="1" applyAlignment="1">
      <alignment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/>
    </xf>
    <xf numFmtId="0" fontId="87" fillId="33" borderId="38" xfId="0" applyFont="1" applyFill="1" applyBorder="1" applyAlignment="1">
      <alignment horizontal="center" vertical="center" wrapText="1"/>
    </xf>
    <xf numFmtId="164" fontId="40" fillId="33" borderId="38" xfId="0" applyNumberFormat="1" applyFont="1" applyFill="1" applyBorder="1" applyAlignment="1">
      <alignment horizontal="right" vertical="center"/>
    </xf>
    <xf numFmtId="164" fontId="20" fillId="33" borderId="38" xfId="0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/>
    </xf>
    <xf numFmtId="164" fontId="61" fillId="33" borderId="0" xfId="0" applyNumberFormat="1" applyFont="1" applyFill="1" applyAlignment="1">
      <alignment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43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/>
    </xf>
    <xf numFmtId="0" fontId="16" fillId="33" borderId="38" xfId="0" applyFont="1" applyFill="1" applyBorder="1" applyAlignment="1">
      <alignment horizontal="center" vertical="center" wrapText="1"/>
    </xf>
    <xf numFmtId="164" fontId="16" fillId="33" borderId="38" xfId="0" applyNumberFormat="1" applyFont="1" applyFill="1" applyBorder="1" applyAlignment="1">
      <alignment horizontal="right" vertical="center"/>
    </xf>
    <xf numFmtId="164" fontId="17" fillId="33" borderId="38" xfId="0" applyNumberFormat="1" applyFont="1" applyFill="1" applyBorder="1" applyAlignment="1">
      <alignment horizontal="right"/>
    </xf>
    <xf numFmtId="164" fontId="16" fillId="33" borderId="0" xfId="0" applyNumberFormat="1" applyFont="1" applyFill="1" applyAlignment="1">
      <alignment/>
    </xf>
    <xf numFmtId="0" fontId="16" fillId="33" borderId="38" xfId="0" applyFont="1" applyFill="1" applyBorder="1" applyAlignment="1">
      <alignment horizontal="center"/>
    </xf>
    <xf numFmtId="0" fontId="16" fillId="33" borderId="38" xfId="0" applyFont="1" applyFill="1" applyBorder="1" applyAlignment="1">
      <alignment/>
    </xf>
    <xf numFmtId="164" fontId="24" fillId="33" borderId="0" xfId="0" applyNumberFormat="1" applyFont="1" applyFill="1" applyAlignment="1">
      <alignment/>
    </xf>
    <xf numFmtId="0" fontId="21" fillId="0" borderId="38" xfId="53" applyFont="1" applyFill="1" applyBorder="1" applyAlignment="1">
      <alignment horizontal="center" vertical="top" wrapText="1"/>
      <protection/>
    </xf>
    <xf numFmtId="0" fontId="45" fillId="0" borderId="38" xfId="53" applyFont="1" applyFill="1" applyBorder="1" applyAlignment="1">
      <alignment horizontal="center" vertical="center" textRotation="90" wrapText="1"/>
      <protection/>
    </xf>
    <xf numFmtId="0" fontId="21" fillId="0" borderId="38" xfId="53" applyFont="1" applyFill="1" applyBorder="1" applyAlignment="1">
      <alignment horizontal="center" vertical="center" textRotation="90" wrapText="1"/>
      <protection/>
    </xf>
    <xf numFmtId="164" fontId="45" fillId="0" borderId="38" xfId="53" applyNumberFormat="1" applyFont="1" applyFill="1" applyBorder="1" applyAlignment="1">
      <alignment horizontal="right" vertical="center"/>
      <protection/>
    </xf>
    <xf numFmtId="164" fontId="21" fillId="0" borderId="38" xfId="53" applyNumberFormat="1" applyFont="1" applyFill="1" applyBorder="1" applyAlignment="1">
      <alignment horizontal="right"/>
      <protection/>
    </xf>
    <xf numFmtId="0" fontId="21" fillId="0" borderId="38" xfId="55" applyFont="1" applyFill="1" applyBorder="1" applyAlignment="1">
      <alignment vertical="top" wrapText="1"/>
      <protection/>
    </xf>
    <xf numFmtId="0" fontId="21" fillId="0" borderId="0" xfId="53" applyFont="1" applyFill="1" applyAlignment="1">
      <alignment horizontal="center" vertical="center" wrapText="1"/>
      <protection/>
    </xf>
    <xf numFmtId="0" fontId="21" fillId="0" borderId="22" xfId="55" applyFont="1" applyFill="1" applyBorder="1" applyAlignment="1">
      <alignment vertical="center" wrapText="1"/>
      <protection/>
    </xf>
    <xf numFmtId="2" fontId="21" fillId="0" borderId="22" xfId="55" applyNumberFormat="1" applyFont="1" applyFill="1" applyBorder="1" applyAlignment="1">
      <alignment horizontal="center" vertical="center" wrapText="1"/>
      <protection/>
    </xf>
    <xf numFmtId="164" fontId="45" fillId="0" borderId="18" xfId="53" applyNumberFormat="1" applyFont="1" applyFill="1" applyBorder="1" applyAlignment="1">
      <alignment horizontal="center"/>
      <protection/>
    </xf>
    <xf numFmtId="0" fontId="21" fillId="0" borderId="0" xfId="53" applyFont="1" applyFill="1">
      <alignment/>
      <protection/>
    </xf>
    <xf numFmtId="164" fontId="21" fillId="0" borderId="0" xfId="53" applyNumberFormat="1" applyFont="1" applyFill="1">
      <alignment/>
      <protection/>
    </xf>
    <xf numFmtId="0" fontId="14" fillId="0" borderId="38" xfId="53" applyFont="1" applyFill="1" applyBorder="1" applyAlignment="1">
      <alignment horizontal="center" vertical="top" wrapText="1"/>
      <protection/>
    </xf>
    <xf numFmtId="0" fontId="13" fillId="0" borderId="38" xfId="53" applyFont="1" applyFill="1" applyBorder="1" applyAlignment="1">
      <alignment horizontal="center" vertical="center" wrapText="1"/>
      <protection/>
    </xf>
    <xf numFmtId="0" fontId="13" fillId="0" borderId="38" xfId="53" applyFont="1" applyFill="1" applyBorder="1" applyAlignment="1">
      <alignment horizontal="center" vertical="center" textRotation="90" wrapText="1"/>
      <protection/>
    </xf>
    <xf numFmtId="0" fontId="14" fillId="0" borderId="38" xfId="53" applyFont="1" applyFill="1" applyBorder="1" applyAlignment="1">
      <alignment horizontal="center" vertical="center" textRotation="90" wrapText="1"/>
      <protection/>
    </xf>
    <xf numFmtId="165" fontId="91" fillId="0" borderId="38" xfId="0" applyNumberFormat="1" applyFont="1" applyFill="1" applyBorder="1" applyAlignment="1">
      <alignment horizontal="right" vertical="center"/>
    </xf>
    <xf numFmtId="0" fontId="86" fillId="0" borderId="38" xfId="0" applyFont="1" applyFill="1" applyBorder="1" applyAlignment="1">
      <alignment horizontal="right" vertical="center"/>
    </xf>
    <xf numFmtId="0" fontId="91" fillId="0" borderId="38" xfId="53" applyFont="1" applyFill="1" applyBorder="1" applyAlignment="1">
      <alignment vertical="center" wrapText="1"/>
      <protection/>
    </xf>
    <xf numFmtId="0" fontId="14" fillId="0" borderId="38" xfId="53" applyFont="1" applyFill="1" applyBorder="1">
      <alignment/>
      <protection/>
    </xf>
    <xf numFmtId="0" fontId="14" fillId="0" borderId="38" xfId="53" applyNumberFormat="1" applyFont="1" applyFill="1" applyBorder="1" applyAlignment="1">
      <alignment horizontal="center"/>
      <protection/>
    </xf>
    <xf numFmtId="0" fontId="14" fillId="0" borderId="38" xfId="53" applyNumberFormat="1" applyFont="1" applyFill="1" applyBorder="1">
      <alignment/>
      <protection/>
    </xf>
    <xf numFmtId="166" fontId="86" fillId="0" borderId="38" xfId="0" applyNumberFormat="1" applyFont="1" applyFill="1" applyBorder="1" applyAlignment="1">
      <alignment horizontal="right" vertical="center"/>
    </xf>
    <xf numFmtId="0" fontId="14" fillId="0" borderId="38" xfId="53" applyFont="1" applyFill="1" applyBorder="1" applyAlignment="1">
      <alignment horizontal="center" vertical="center" wrapText="1"/>
      <protection/>
    </xf>
    <xf numFmtId="4" fontId="13" fillId="0" borderId="38" xfId="53" applyNumberFormat="1" applyFont="1" applyFill="1" applyBorder="1" applyAlignment="1">
      <alignment horizontal="center" vertical="center"/>
      <protection/>
    </xf>
    <xf numFmtId="164" fontId="13" fillId="0" borderId="38" xfId="53" applyNumberFormat="1" applyFont="1" applyFill="1" applyBorder="1" applyAlignment="1">
      <alignment vertical="center"/>
      <protection/>
    </xf>
    <xf numFmtId="164" fontId="13" fillId="0" borderId="38" xfId="53" applyNumberFormat="1" applyFont="1" applyFill="1" applyBorder="1" applyAlignment="1">
      <alignment horizontal="center" vertical="center"/>
      <protection/>
    </xf>
    <xf numFmtId="0" fontId="86" fillId="0" borderId="38" xfId="52" applyFont="1" applyFill="1" applyBorder="1" applyAlignment="1">
      <alignment vertical="center" wrapText="1"/>
      <protection/>
    </xf>
    <xf numFmtId="164" fontId="13" fillId="0" borderId="38" xfId="53" applyNumberFormat="1" applyFont="1" applyFill="1" applyBorder="1" applyAlignment="1">
      <alignment horizontal="right"/>
      <protection/>
    </xf>
    <xf numFmtId="164" fontId="14" fillId="0" borderId="38" xfId="53" applyNumberFormat="1" applyFont="1" applyFill="1" applyBorder="1" applyAlignment="1">
      <alignment horizontal="center" vertical="center" wrapText="1"/>
      <protection/>
    </xf>
    <xf numFmtId="164" fontId="92" fillId="0" borderId="38" xfId="53" applyNumberFormat="1" applyFont="1" applyFill="1" applyBorder="1" applyAlignment="1">
      <alignment horizontal="center" vertical="center"/>
      <protection/>
    </xf>
    <xf numFmtId="164" fontId="14" fillId="0" borderId="38" xfId="53" applyNumberFormat="1" applyFont="1" applyFill="1" applyBorder="1" applyAlignment="1">
      <alignment horizontal="right" vertical="center"/>
      <protection/>
    </xf>
    <xf numFmtId="164" fontId="13" fillId="0" borderId="38" xfId="53" applyNumberFormat="1" applyFont="1" applyFill="1" applyBorder="1" applyAlignment="1">
      <alignment horizontal="right" vertical="center"/>
      <protection/>
    </xf>
    <xf numFmtId="0" fontId="86" fillId="0" borderId="38" xfId="52" applyFont="1" applyFill="1" applyBorder="1" applyAlignment="1">
      <alignment horizontal="left" vertical="center" wrapText="1"/>
      <protection/>
    </xf>
    <xf numFmtId="164" fontId="14" fillId="0" borderId="38" xfId="53" applyNumberFormat="1" applyFont="1" applyFill="1" applyBorder="1" applyAlignment="1">
      <alignment horizontal="right"/>
      <protection/>
    </xf>
    <xf numFmtId="164" fontId="14" fillId="0" borderId="38" xfId="53" applyNumberFormat="1" applyFont="1" applyFill="1" applyBorder="1" applyAlignment="1">
      <alignment horizontal="center" vertical="center"/>
      <protection/>
    </xf>
    <xf numFmtId="0" fontId="86" fillId="0" borderId="38" xfId="53" applyFont="1" applyFill="1" applyBorder="1" applyAlignment="1">
      <alignment vertical="center" wrapText="1"/>
      <protection/>
    </xf>
    <xf numFmtId="165" fontId="91" fillId="0" borderId="38" xfId="0" applyNumberFormat="1" applyFont="1" applyFill="1" applyBorder="1" applyAlignment="1">
      <alignment horizontal="center" vertical="center"/>
    </xf>
    <xf numFmtId="166" fontId="14" fillId="0" borderId="38" xfId="55" applyNumberFormat="1" applyFont="1" applyFill="1" applyBorder="1" applyAlignment="1">
      <alignment horizontal="center" vertical="center"/>
      <protection/>
    </xf>
    <xf numFmtId="0" fontId="14" fillId="0" borderId="38" xfId="55" applyFont="1" applyFill="1" applyBorder="1" applyAlignment="1">
      <alignment vertical="top" wrapText="1"/>
      <protection/>
    </xf>
    <xf numFmtId="0" fontId="14" fillId="0" borderId="38" xfId="55" applyFont="1" applyFill="1" applyBorder="1" applyAlignment="1">
      <alignment horizontal="center" vertical="center" wrapText="1"/>
      <protection/>
    </xf>
    <xf numFmtId="0" fontId="86" fillId="0" borderId="38" xfId="55" applyFont="1" applyFill="1" applyBorder="1" applyAlignment="1">
      <alignment horizontal="center" vertical="center"/>
      <protection/>
    </xf>
    <xf numFmtId="0" fontId="14" fillId="0" borderId="38" xfId="55" applyFont="1" applyFill="1" applyBorder="1" applyAlignment="1">
      <alignment vertical="center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14" fillId="0" borderId="22" xfId="55" applyFont="1" applyFill="1" applyBorder="1" applyAlignment="1">
      <alignment vertical="center" wrapText="1"/>
      <protection/>
    </xf>
    <xf numFmtId="165" fontId="91" fillId="0" borderId="38" xfId="0" applyNumberFormat="1" applyFont="1" applyFill="1" applyBorder="1" applyAlignment="1">
      <alignment horizontal="center" vertical="center" wrapText="1"/>
    </xf>
    <xf numFmtId="0" fontId="14" fillId="0" borderId="22" xfId="55" applyFont="1" applyFill="1" applyBorder="1" applyAlignment="1">
      <alignment horizontal="center" vertical="center" wrapText="1"/>
      <protection/>
    </xf>
    <xf numFmtId="0" fontId="14" fillId="0" borderId="38" xfId="55" applyFont="1" applyFill="1" applyBorder="1" applyAlignment="1">
      <alignment horizontal="left" vertical="center" wrapText="1"/>
      <protection/>
    </xf>
    <xf numFmtId="164" fontId="13" fillId="33" borderId="38" xfId="53" applyNumberFormat="1" applyFont="1" applyFill="1" applyBorder="1" applyAlignment="1">
      <alignment vertical="center"/>
      <protection/>
    </xf>
    <xf numFmtId="2" fontId="14" fillId="0" borderId="22" xfId="55" applyNumberFormat="1" applyFont="1" applyFill="1" applyBorder="1" applyAlignment="1">
      <alignment horizontal="center" vertical="center" wrapText="1"/>
      <protection/>
    </xf>
    <xf numFmtId="165" fontId="13" fillId="0" borderId="38" xfId="55" applyNumberFormat="1" applyFont="1" applyFill="1" applyBorder="1" applyAlignment="1">
      <alignment horizontal="right" vertical="center"/>
      <protection/>
    </xf>
    <xf numFmtId="0" fontId="13" fillId="0" borderId="38" xfId="55" applyFont="1" applyFill="1" applyBorder="1" applyAlignment="1">
      <alignment horizontal="left" vertical="center" wrapText="1"/>
      <protection/>
    </xf>
    <xf numFmtId="4" fontId="13" fillId="0" borderId="38" xfId="53" applyNumberFormat="1" applyFont="1" applyFill="1" applyBorder="1" applyAlignment="1">
      <alignment horizontal="right" vertical="center"/>
      <protection/>
    </xf>
    <xf numFmtId="164" fontId="13" fillId="0" borderId="18" xfId="53" applyNumberFormat="1" applyFont="1" applyFill="1" applyBorder="1" applyAlignment="1">
      <alignment horizontal="center"/>
      <protection/>
    </xf>
    <xf numFmtId="166" fontId="13" fillId="0" borderId="38" xfId="55" applyNumberFormat="1" applyFont="1" applyFill="1" applyBorder="1" applyAlignment="1">
      <alignment horizontal="center" vertical="center"/>
      <protection/>
    </xf>
    <xf numFmtId="0" fontId="13" fillId="0" borderId="38" xfId="55" applyFont="1" applyFill="1" applyBorder="1" applyAlignment="1">
      <alignment vertical="center" wrapText="1"/>
      <protection/>
    </xf>
    <xf numFmtId="164" fontId="13" fillId="0" borderId="38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>
      <alignment/>
      <protection/>
    </xf>
    <xf numFmtId="164" fontId="14" fillId="0" borderId="0" xfId="53" applyNumberFormat="1" applyFont="1" applyFill="1">
      <alignment/>
      <protection/>
    </xf>
    <xf numFmtId="0" fontId="86" fillId="0" borderId="0" xfId="0" applyFont="1" applyFill="1" applyAlignment="1">
      <alignment vertical="center"/>
    </xf>
    <xf numFmtId="0" fontId="45" fillId="0" borderId="43" xfId="53" applyFont="1" applyFill="1" applyBorder="1" applyAlignment="1">
      <alignment horizontal="center" vertical="center" wrapText="1"/>
      <protection/>
    </xf>
    <xf numFmtId="0" fontId="45" fillId="0" borderId="71" xfId="53" applyFont="1" applyFill="1" applyBorder="1" applyAlignment="1">
      <alignment horizontal="center" vertical="center" wrapText="1"/>
      <protection/>
    </xf>
    <xf numFmtId="165" fontId="88" fillId="0" borderId="86" xfId="0" applyNumberFormat="1" applyFont="1" applyFill="1" applyBorder="1" applyAlignment="1">
      <alignment horizontal="right" vertical="center"/>
    </xf>
    <xf numFmtId="0" fontId="83" fillId="0" borderId="86" xfId="0" applyFont="1" applyFill="1" applyBorder="1" applyAlignment="1">
      <alignment horizontal="right" vertical="center"/>
    </xf>
    <xf numFmtId="0" fontId="88" fillId="0" borderId="43" xfId="53" applyFont="1" applyFill="1" applyBorder="1" applyAlignment="1">
      <alignment vertical="center" wrapText="1"/>
      <protection/>
    </xf>
    <xf numFmtId="0" fontId="21" fillId="0" borderId="43" xfId="53" applyFont="1" applyFill="1" applyBorder="1">
      <alignment/>
      <protection/>
    </xf>
    <xf numFmtId="0" fontId="21" fillId="0" borderId="43" xfId="53" applyNumberFormat="1" applyFont="1" applyFill="1" applyBorder="1" applyAlignment="1">
      <alignment horizontal="center"/>
      <protection/>
    </xf>
    <xf numFmtId="0" fontId="45" fillId="0" borderId="43" xfId="53" applyNumberFormat="1" applyFont="1" applyFill="1" applyBorder="1">
      <alignment/>
      <protection/>
    </xf>
    <xf numFmtId="165" fontId="45" fillId="0" borderId="87" xfId="55" applyNumberFormat="1" applyFont="1" applyFill="1" applyBorder="1" applyAlignment="1">
      <alignment horizontal="right" vertical="center"/>
      <protection/>
    </xf>
    <xf numFmtId="0" fontId="83" fillId="0" borderId="16" xfId="55" applyFont="1" applyFill="1" applyBorder="1">
      <alignment/>
      <protection/>
    </xf>
    <xf numFmtId="0" fontId="45" fillId="0" borderId="16" xfId="55" applyFont="1" applyFill="1" applyBorder="1" applyAlignment="1">
      <alignment vertical="center"/>
      <protection/>
    </xf>
    <xf numFmtId="164" fontId="88" fillId="0" borderId="16" xfId="55" applyNumberFormat="1" applyFont="1" applyFill="1" applyBorder="1" applyAlignment="1">
      <alignment horizontal="center" vertical="center"/>
      <protection/>
    </xf>
    <xf numFmtId="165" fontId="21" fillId="0" borderId="88" xfId="55" applyNumberFormat="1" applyFont="1" applyFill="1" applyBorder="1" applyAlignment="1">
      <alignment horizontal="right" vertical="center"/>
      <protection/>
    </xf>
    <xf numFmtId="166" fontId="21" fillId="0" borderId="22" xfId="55" applyNumberFormat="1" applyFont="1" applyFill="1" applyBorder="1" applyAlignment="1">
      <alignment horizontal="center" vertical="center"/>
      <protection/>
    </xf>
    <xf numFmtId="0" fontId="21" fillId="0" borderId="22" xfId="52" applyFont="1" applyFill="1" applyBorder="1" applyAlignment="1">
      <alignment vertical="center"/>
      <protection/>
    </xf>
    <xf numFmtId="0" fontId="21" fillId="0" borderId="22" xfId="53" applyFont="1" applyFill="1" applyBorder="1">
      <alignment/>
      <protection/>
    </xf>
    <xf numFmtId="0" fontId="83" fillId="0" borderId="22" xfId="55" applyFont="1" applyFill="1" applyBorder="1" applyAlignment="1">
      <alignment horizontal="center" vertical="center"/>
      <protection/>
    </xf>
    <xf numFmtId="164" fontId="21" fillId="0" borderId="22" xfId="53" applyNumberFormat="1" applyFont="1" applyFill="1" applyBorder="1" applyAlignment="1">
      <alignment horizontal="center" vertical="center"/>
      <protection/>
    </xf>
    <xf numFmtId="164" fontId="45" fillId="0" borderId="22" xfId="53" applyNumberFormat="1" applyFont="1" applyFill="1" applyBorder="1" applyAlignment="1">
      <alignment horizontal="center" vertical="center"/>
      <protection/>
    </xf>
    <xf numFmtId="164" fontId="45" fillId="0" borderId="79" xfId="53" applyNumberFormat="1" applyFont="1" applyFill="1" applyBorder="1" applyAlignment="1">
      <alignment horizontal="right" vertical="center"/>
      <protection/>
    </xf>
    <xf numFmtId="0" fontId="21" fillId="0" borderId="22" xfId="52" applyFont="1" applyFill="1" applyBorder="1" applyAlignment="1">
      <alignment horizontal="left" vertical="center" wrapText="1"/>
      <protection/>
    </xf>
    <xf numFmtId="164" fontId="45" fillId="0" borderId="22" xfId="53" applyNumberFormat="1" applyFont="1" applyFill="1" applyBorder="1" applyAlignment="1">
      <alignment horizontal="right"/>
      <protection/>
    </xf>
    <xf numFmtId="164" fontId="45" fillId="0" borderId="22" xfId="53" applyNumberFormat="1" applyFont="1" applyFill="1" applyBorder="1" applyAlignment="1">
      <alignment horizontal="right" vertical="center"/>
      <protection/>
    </xf>
    <xf numFmtId="164" fontId="21" fillId="0" borderId="22" xfId="53" applyNumberFormat="1" applyFont="1" applyFill="1" applyBorder="1" applyAlignment="1">
      <alignment horizontal="right"/>
      <protection/>
    </xf>
    <xf numFmtId="164" fontId="21" fillId="0" borderId="22" xfId="53" applyNumberFormat="1" applyFont="1" applyFill="1" applyBorder="1" applyAlignment="1">
      <alignment horizontal="right" vertical="center"/>
      <protection/>
    </xf>
    <xf numFmtId="0" fontId="88" fillId="0" borderId="88" xfId="55" applyFont="1" applyFill="1" applyBorder="1">
      <alignment/>
      <protection/>
    </xf>
    <xf numFmtId="0" fontId="88" fillId="0" borderId="22" xfId="55" applyFont="1" applyFill="1" applyBorder="1">
      <alignment/>
      <protection/>
    </xf>
    <xf numFmtId="0" fontId="88" fillId="0" borderId="22" xfId="55" applyFont="1" applyFill="1" applyBorder="1" applyAlignment="1">
      <alignment horizontal="center" vertical="center"/>
      <protection/>
    </xf>
    <xf numFmtId="164" fontId="88" fillId="0" borderId="22" xfId="55" applyNumberFormat="1" applyFont="1" applyFill="1" applyBorder="1" applyAlignment="1">
      <alignment vertical="center"/>
      <protection/>
    </xf>
    <xf numFmtId="164" fontId="88" fillId="0" borderId="79" xfId="55" applyNumberFormat="1" applyFont="1" applyFill="1" applyBorder="1" applyAlignment="1">
      <alignment vertical="center"/>
      <protection/>
    </xf>
    <xf numFmtId="0" fontId="45" fillId="0" borderId="0" xfId="53" applyFont="1" applyFill="1">
      <alignment/>
      <protection/>
    </xf>
    <xf numFmtId="165" fontId="88" fillId="0" borderId="88" xfId="0" applyNumberFormat="1" applyFont="1" applyFill="1" applyBorder="1" applyAlignment="1">
      <alignment horizontal="right" vertical="center"/>
    </xf>
    <xf numFmtId="0" fontId="45" fillId="0" borderId="22" xfId="55" applyFont="1" applyFill="1" applyBorder="1" applyAlignment="1">
      <alignment horizontal="left" vertical="center" wrapText="1"/>
      <protection/>
    </xf>
    <xf numFmtId="165" fontId="45" fillId="0" borderId="88" xfId="55" applyNumberFormat="1" applyFont="1" applyFill="1" applyBorder="1" applyAlignment="1">
      <alignment horizontal="right" vertical="center"/>
      <protection/>
    </xf>
    <xf numFmtId="0" fontId="21" fillId="0" borderId="22" xfId="55" applyFont="1" applyFill="1" applyBorder="1" applyAlignment="1">
      <alignment vertical="top" wrapText="1"/>
      <protection/>
    </xf>
    <xf numFmtId="0" fontId="83" fillId="0" borderId="22" xfId="0" applyFont="1" applyFill="1" applyBorder="1" applyAlignment="1">
      <alignment vertical="center" wrapText="1"/>
    </xf>
    <xf numFmtId="167" fontId="83" fillId="0" borderId="22" xfId="0" applyNumberFormat="1" applyFont="1" applyFill="1" applyBorder="1" applyAlignment="1">
      <alignment vertical="center" wrapText="1"/>
    </xf>
    <xf numFmtId="164" fontId="21" fillId="0" borderId="22" xfId="53" applyNumberFormat="1" applyFont="1" applyFill="1" applyBorder="1" applyAlignment="1">
      <alignment vertical="center"/>
      <protection/>
    </xf>
    <xf numFmtId="3" fontId="45" fillId="0" borderId="22" xfId="53" applyNumberFormat="1" applyFont="1" applyFill="1" applyBorder="1" applyAlignment="1">
      <alignment horizontal="right" vertical="center"/>
      <protection/>
    </xf>
    <xf numFmtId="0" fontId="83" fillId="0" borderId="88" xfId="55" applyFont="1" applyFill="1" applyBorder="1">
      <alignment/>
      <protection/>
    </xf>
    <xf numFmtId="0" fontId="83" fillId="0" borderId="22" xfId="55" applyFont="1" applyFill="1" applyBorder="1">
      <alignment/>
      <protection/>
    </xf>
    <xf numFmtId="164" fontId="83" fillId="0" borderId="22" xfId="0" applyNumberFormat="1" applyFont="1" applyFill="1" applyBorder="1" applyAlignment="1">
      <alignment horizontal="right" vertical="center"/>
    </xf>
    <xf numFmtId="0" fontId="21" fillId="0" borderId="22" xfId="55" applyFont="1" applyFill="1" applyBorder="1" applyAlignment="1">
      <alignment horizontal="left" vertical="center" wrapText="1"/>
      <protection/>
    </xf>
    <xf numFmtId="0" fontId="83" fillId="0" borderId="22" xfId="0" applyFont="1" applyFill="1" applyBorder="1" applyAlignment="1">
      <alignment horizontal="right" vertical="center" wrapText="1"/>
    </xf>
    <xf numFmtId="0" fontId="83" fillId="0" borderId="22" xfId="0" applyFont="1" applyFill="1" applyBorder="1" applyAlignment="1">
      <alignment horizontal="center" vertical="center" wrapText="1"/>
    </xf>
    <xf numFmtId="164" fontId="45" fillId="33" borderId="22" xfId="53" applyNumberFormat="1" applyFont="1" applyFill="1" applyBorder="1" applyAlignment="1">
      <alignment horizontal="right" vertical="center"/>
      <protection/>
    </xf>
    <xf numFmtId="164" fontId="45" fillId="33" borderId="79" xfId="53" applyNumberFormat="1" applyFont="1" applyFill="1" applyBorder="1" applyAlignment="1">
      <alignment horizontal="right" vertical="center"/>
      <protection/>
    </xf>
    <xf numFmtId="164" fontId="21" fillId="0" borderId="22" xfId="55" applyNumberFormat="1" applyFont="1" applyFill="1" applyBorder="1" applyAlignment="1">
      <alignment horizontal="center" vertical="center" wrapText="1"/>
      <protection/>
    </xf>
    <xf numFmtId="164" fontId="45" fillId="0" borderId="22" xfId="53" applyNumberFormat="1" applyFont="1" applyFill="1" applyBorder="1" applyAlignment="1">
      <alignment vertical="center"/>
      <protection/>
    </xf>
    <xf numFmtId="3" fontId="45" fillId="0" borderId="22" xfId="53" applyNumberFormat="1" applyFont="1" applyFill="1" applyBorder="1" applyAlignment="1">
      <alignment vertical="center"/>
      <protection/>
    </xf>
    <xf numFmtId="164" fontId="45" fillId="0" borderId="79" xfId="53" applyNumberFormat="1" applyFont="1" applyFill="1" applyBorder="1" applyAlignment="1">
      <alignment vertical="center"/>
      <protection/>
    </xf>
    <xf numFmtId="3" fontId="45" fillId="0" borderId="22" xfId="53" applyNumberFormat="1" applyFont="1" applyFill="1" applyBorder="1" applyAlignment="1">
      <alignment horizontal="center" vertical="center"/>
      <protection/>
    </xf>
    <xf numFmtId="0" fontId="21" fillId="0" borderId="89" xfId="53" applyFont="1" applyFill="1" applyBorder="1">
      <alignment/>
      <protection/>
    </xf>
    <xf numFmtId="0" fontId="21" fillId="0" borderId="18" xfId="53" applyFont="1" applyFill="1" applyBorder="1">
      <alignment/>
      <protection/>
    </xf>
    <xf numFmtId="164" fontId="21" fillId="0" borderId="18" xfId="53" applyNumberFormat="1" applyFont="1" applyFill="1" applyBorder="1" applyAlignment="1">
      <alignment horizontal="right"/>
      <protection/>
    </xf>
    <xf numFmtId="164" fontId="45" fillId="0" borderId="18" xfId="53" applyNumberFormat="1" applyFont="1" applyFill="1" applyBorder="1" applyAlignment="1">
      <alignment horizontal="right" vertical="center"/>
      <protection/>
    </xf>
    <xf numFmtId="164" fontId="45" fillId="0" borderId="90" xfId="53" applyNumberFormat="1" applyFont="1" applyFill="1" applyBorder="1" applyAlignment="1">
      <alignment horizontal="right" vertical="center"/>
      <protection/>
    </xf>
    <xf numFmtId="0" fontId="88" fillId="0" borderId="0" xfId="0" applyFont="1" applyFill="1" applyAlignment="1">
      <alignment/>
    </xf>
    <xf numFmtId="164" fontId="89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164" fontId="45" fillId="0" borderId="38" xfId="0" applyNumberFormat="1" applyFont="1" applyFill="1" applyBorder="1" applyAlignment="1">
      <alignment horizontal="right" vertical="center"/>
    </xf>
    <xf numFmtId="164" fontId="61" fillId="33" borderId="38" xfId="0" applyNumberFormat="1" applyFont="1" applyFill="1" applyBorder="1" applyAlignment="1">
      <alignment horizontal="right" vertical="center"/>
    </xf>
    <xf numFmtId="164" fontId="69" fillId="33" borderId="38" xfId="0" applyNumberFormat="1" applyFont="1" applyFill="1" applyBorder="1" applyAlignment="1">
      <alignment horizontal="right"/>
    </xf>
    <xf numFmtId="0" fontId="61" fillId="33" borderId="38" xfId="0" applyFont="1" applyFill="1" applyBorder="1" applyAlignment="1">
      <alignment horizontal="center"/>
    </xf>
    <xf numFmtId="0" fontId="83" fillId="33" borderId="44" xfId="0" applyFont="1" applyFill="1" applyBorder="1" applyAlignment="1">
      <alignment horizontal="center" vertical="center" wrapText="1"/>
    </xf>
    <xf numFmtId="0" fontId="83" fillId="33" borderId="38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38" xfId="0" applyFont="1" applyFill="1" applyBorder="1" applyAlignment="1">
      <alignment horizontal="center" vertical="center" wrapText="1"/>
    </xf>
    <xf numFmtId="0" fontId="83" fillId="33" borderId="38" xfId="0" applyFont="1" applyFill="1" applyBorder="1" applyAlignment="1">
      <alignment/>
    </xf>
    <xf numFmtId="164" fontId="88" fillId="33" borderId="38" xfId="0" applyNumberFormat="1" applyFont="1" applyFill="1" applyBorder="1" applyAlignment="1">
      <alignment horizontal="right" vertical="center"/>
    </xf>
    <xf numFmtId="164" fontId="83" fillId="33" borderId="38" xfId="0" applyNumberFormat="1" applyFont="1" applyFill="1" applyBorder="1" applyAlignment="1">
      <alignment horizontal="right" vertical="center"/>
    </xf>
    <xf numFmtId="0" fontId="83" fillId="33" borderId="0" xfId="0" applyFont="1" applyFill="1" applyAlignment="1">
      <alignment/>
    </xf>
    <xf numFmtId="164" fontId="83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/>
    </xf>
    <xf numFmtId="164" fontId="5" fillId="33" borderId="92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3" fontId="5" fillId="33" borderId="23" xfId="0" applyNumberFormat="1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3" fontId="5" fillId="33" borderId="33" xfId="0" applyNumberFormat="1" applyFont="1" applyFill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center" wrapText="1"/>
    </xf>
    <xf numFmtId="164" fontId="5" fillId="0" borderId="75" xfId="0" applyNumberFormat="1" applyFont="1" applyFill="1" applyBorder="1" applyAlignment="1">
      <alignment horizontal="center" vertical="center" wrapText="1"/>
    </xf>
    <xf numFmtId="49" fontId="6" fillId="0" borderId="93" xfId="0" applyNumberFormat="1" applyFont="1" applyFill="1" applyBorder="1" applyAlignment="1">
      <alignment horizontal="center" vertical="top"/>
    </xf>
    <xf numFmtId="49" fontId="6" fillId="0" borderId="2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/>
    </xf>
    <xf numFmtId="165" fontId="5" fillId="0" borderId="94" xfId="0" applyNumberFormat="1" applyFont="1" applyFill="1" applyBorder="1" applyAlignment="1">
      <alignment horizontal="center" vertical="center"/>
    </xf>
    <xf numFmtId="166" fontId="5" fillId="0" borderId="24" xfId="0" applyNumberFormat="1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166" fontId="5" fillId="0" borderId="7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164" fontId="5" fillId="0" borderId="76" xfId="0" applyNumberFormat="1" applyFont="1" applyFill="1" applyBorder="1" applyAlignment="1">
      <alignment horizontal="center" vertical="center" wrapText="1"/>
    </xf>
    <xf numFmtId="164" fontId="5" fillId="0" borderId="77" xfId="0" applyNumberFormat="1" applyFont="1" applyFill="1" applyBorder="1" applyAlignment="1">
      <alignment horizontal="center" vertical="center" wrapText="1"/>
    </xf>
    <xf numFmtId="0" fontId="5" fillId="0" borderId="16" xfId="52" applyFont="1" applyFill="1" applyBorder="1" applyAlignment="1">
      <alignment horizontal="left" vertical="center"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165" fontId="6" fillId="0" borderId="93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9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5" fillId="0" borderId="27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77" xfId="52" applyFont="1" applyFill="1" applyBorder="1" applyAlignment="1">
      <alignment horizontal="center" vertical="center" wrapText="1"/>
      <protection/>
    </xf>
    <xf numFmtId="0" fontId="5" fillId="33" borderId="27" xfId="52" applyFont="1" applyFill="1" applyBorder="1" applyAlignment="1">
      <alignment horizontal="center" vertical="center" wrapText="1"/>
      <protection/>
    </xf>
    <xf numFmtId="0" fontId="5" fillId="33" borderId="29" xfId="52" applyFont="1" applyFill="1" applyBorder="1" applyAlignment="1">
      <alignment horizontal="center" vertical="center" wrapText="1"/>
      <protection/>
    </xf>
    <xf numFmtId="0" fontId="5" fillId="33" borderId="77" xfId="52" applyFont="1" applyFill="1" applyBorder="1" applyAlignment="1">
      <alignment horizontal="center" vertical="center" wrapText="1"/>
      <protection/>
    </xf>
    <xf numFmtId="0" fontId="86" fillId="0" borderId="24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96" xfId="0" applyFont="1" applyFill="1" applyBorder="1" applyAlignment="1">
      <alignment horizontal="center" vertical="center" textRotation="90" wrapText="1"/>
    </xf>
    <xf numFmtId="0" fontId="5" fillId="0" borderId="97" xfId="0" applyFont="1" applyFill="1" applyBorder="1" applyAlignment="1">
      <alignment horizontal="center" vertical="center" textRotation="90" wrapText="1"/>
    </xf>
    <xf numFmtId="0" fontId="5" fillId="0" borderId="98" xfId="0" applyFont="1" applyFill="1" applyBorder="1" applyAlignment="1">
      <alignment horizontal="center" vertical="center" textRotation="90" wrapText="1"/>
    </xf>
    <xf numFmtId="0" fontId="5" fillId="0" borderId="99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9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64" fontId="5" fillId="0" borderId="100" xfId="0" applyNumberFormat="1" applyFont="1" applyFill="1" applyBorder="1" applyAlignment="1">
      <alignment horizontal="center" vertical="center" wrapText="1"/>
    </xf>
    <xf numFmtId="164" fontId="5" fillId="0" borderId="81" xfId="0" applyNumberFormat="1" applyFont="1" applyFill="1" applyBorder="1" applyAlignment="1">
      <alignment horizontal="center" vertical="center" wrapText="1"/>
    </xf>
    <xf numFmtId="164" fontId="5" fillId="0" borderId="102" xfId="0" applyNumberFormat="1" applyFont="1" applyFill="1" applyBorder="1" applyAlignment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center" vertical="center" wrapText="1"/>
    </xf>
    <xf numFmtId="164" fontId="5" fillId="0" borderId="103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/>
    </xf>
    <xf numFmtId="0" fontId="18" fillId="0" borderId="4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82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0" fillId="0" borderId="0" xfId="0" applyFont="1" applyFill="1" applyAlignment="1">
      <alignment horizontal="center"/>
    </xf>
    <xf numFmtId="0" fontId="83" fillId="0" borderId="45" xfId="0" applyFont="1" applyFill="1" applyBorder="1" applyAlignment="1">
      <alignment vertical="center" wrapText="1"/>
    </xf>
    <xf numFmtId="0" fontId="83" fillId="0" borderId="44" xfId="0" applyFont="1" applyFill="1" applyBorder="1" applyAlignment="1">
      <alignment vertical="center" wrapText="1"/>
    </xf>
    <xf numFmtId="0" fontId="83" fillId="0" borderId="51" xfId="0" applyFont="1" applyFill="1" applyBorder="1" applyAlignment="1">
      <alignment vertical="center" wrapText="1"/>
    </xf>
    <xf numFmtId="0" fontId="88" fillId="0" borderId="44" xfId="0" applyFont="1" applyFill="1" applyBorder="1" applyAlignment="1">
      <alignment vertical="center" wrapText="1"/>
    </xf>
    <xf numFmtId="0" fontId="88" fillId="0" borderId="38" xfId="0" applyFont="1" applyFill="1" applyBorder="1" applyAlignment="1">
      <alignment vertical="center" wrapText="1"/>
    </xf>
    <xf numFmtId="0" fontId="83" fillId="0" borderId="38" xfId="0" applyFont="1" applyFill="1" applyBorder="1" applyAlignment="1">
      <alignment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83" fillId="0" borderId="51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38" xfId="0" applyFont="1" applyFill="1" applyBorder="1" applyAlignment="1">
      <alignment horizontal="center" vertical="center" wrapText="1"/>
    </xf>
    <xf numFmtId="0" fontId="83" fillId="0" borderId="97" xfId="0" applyFont="1" applyFill="1" applyBorder="1" applyAlignment="1">
      <alignment vertical="center" wrapText="1"/>
    </xf>
    <xf numFmtId="0" fontId="83" fillId="0" borderId="44" xfId="0" applyFont="1" applyFill="1" applyBorder="1" applyAlignment="1">
      <alignment horizontal="justify" vertical="center" wrapText="1"/>
    </xf>
    <xf numFmtId="0" fontId="83" fillId="0" borderId="38" xfId="0" applyFont="1" applyFill="1" applyBorder="1" applyAlignment="1">
      <alignment horizontal="justify" vertical="center" wrapText="1"/>
    </xf>
    <xf numFmtId="0" fontId="83" fillId="0" borderId="55" xfId="0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center" vertical="center" wrapText="1"/>
    </xf>
    <xf numFmtId="0" fontId="83" fillId="0" borderId="105" xfId="0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83" fillId="0" borderId="46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83" fillId="0" borderId="49" xfId="0" applyFont="1" applyFill="1" applyBorder="1" applyAlignment="1">
      <alignment horizontal="center" vertical="center" wrapText="1"/>
    </xf>
    <xf numFmtId="0" fontId="83" fillId="0" borderId="81" xfId="0" applyFont="1" applyFill="1" applyBorder="1" applyAlignment="1">
      <alignment horizontal="center" vertical="center" wrapText="1"/>
    </xf>
    <xf numFmtId="0" fontId="83" fillId="0" borderId="10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83" fillId="0" borderId="106" xfId="0" applyFont="1" applyFill="1" applyBorder="1" applyAlignment="1">
      <alignment horizontal="justify" vertical="center" wrapText="1"/>
    </xf>
    <xf numFmtId="0" fontId="83" fillId="0" borderId="51" xfId="0" applyFont="1" applyFill="1" applyBorder="1" applyAlignment="1">
      <alignment horizontal="justify" vertical="center" wrapText="1"/>
    </xf>
    <xf numFmtId="0" fontId="21" fillId="0" borderId="97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0" fontId="8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3" fillId="0" borderId="107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58" xfId="0" applyFont="1" applyFill="1" applyBorder="1" applyAlignment="1">
      <alignment horizontal="center" vertical="center" wrapText="1"/>
    </xf>
    <xf numFmtId="0" fontId="83" fillId="0" borderId="10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justify" vertical="center" wrapText="1"/>
    </xf>
    <xf numFmtId="0" fontId="21" fillId="0" borderId="38" xfId="0" applyFont="1" applyFill="1" applyBorder="1" applyAlignment="1">
      <alignment horizontal="justify" vertical="center" wrapText="1"/>
    </xf>
    <xf numFmtId="0" fontId="83" fillId="0" borderId="99" xfId="0" applyFont="1" applyFill="1" applyBorder="1" applyAlignment="1">
      <alignment horizontal="center" vertical="center" wrapText="1"/>
    </xf>
    <xf numFmtId="2" fontId="21" fillId="0" borderId="62" xfId="0" applyNumberFormat="1" applyFont="1" applyFill="1" applyBorder="1" applyAlignment="1">
      <alignment horizontal="left" wrapText="1"/>
    </xf>
    <xf numFmtId="0" fontId="83" fillId="33" borderId="55" xfId="0" applyFont="1" applyFill="1" applyBorder="1" applyAlignment="1">
      <alignment horizontal="center" vertical="center" wrapText="1"/>
    </xf>
    <xf numFmtId="0" fontId="83" fillId="33" borderId="53" xfId="0" applyFont="1" applyFill="1" applyBorder="1" applyAlignment="1">
      <alignment horizontal="center" vertical="center" wrapText="1"/>
    </xf>
    <xf numFmtId="0" fontId="83" fillId="33" borderId="105" xfId="0" applyFont="1" applyFill="1" applyBorder="1" applyAlignment="1">
      <alignment horizontal="center" vertical="center" wrapText="1"/>
    </xf>
    <xf numFmtId="0" fontId="83" fillId="33" borderId="45" xfId="0" applyFont="1" applyFill="1" applyBorder="1" applyAlignment="1">
      <alignment horizontal="center" vertical="center" wrapText="1"/>
    </xf>
    <xf numFmtId="0" fontId="83" fillId="33" borderId="51" xfId="0" applyFont="1" applyFill="1" applyBorder="1" applyAlignment="1">
      <alignment horizontal="center" vertical="center" wrapText="1"/>
    </xf>
    <xf numFmtId="0" fontId="83" fillId="33" borderId="38" xfId="0" applyFont="1" applyFill="1" applyBorder="1" applyAlignment="1">
      <alignment horizontal="center" vertical="center" wrapText="1"/>
    </xf>
    <xf numFmtId="0" fontId="83" fillId="33" borderId="44" xfId="0" applyFont="1" applyFill="1" applyBorder="1" applyAlignment="1">
      <alignment horizontal="center" vertical="center" wrapText="1"/>
    </xf>
    <xf numFmtId="0" fontId="83" fillId="33" borderId="43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/>
    </xf>
    <xf numFmtId="0" fontId="83" fillId="0" borderId="82" xfId="0" applyFont="1" applyFill="1" applyBorder="1" applyAlignment="1">
      <alignment horizontal="center" vertical="center" wrapText="1"/>
    </xf>
    <xf numFmtId="0" fontId="83" fillId="0" borderId="104" xfId="0" applyFont="1" applyFill="1" applyBorder="1" applyAlignment="1">
      <alignment horizontal="center" vertical="center" wrapText="1"/>
    </xf>
    <xf numFmtId="0" fontId="83" fillId="0" borderId="71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center" vertical="center" wrapText="1"/>
    </xf>
    <xf numFmtId="0" fontId="83" fillId="0" borderId="57" xfId="0" applyFont="1" applyFill="1" applyBorder="1" applyAlignment="1">
      <alignment horizontal="center" vertical="center" wrapText="1"/>
    </xf>
    <xf numFmtId="0" fontId="83" fillId="0" borderId="109" xfId="0" applyFont="1" applyFill="1" applyBorder="1" applyAlignment="1">
      <alignment horizontal="center" vertical="center" wrapText="1"/>
    </xf>
    <xf numFmtId="0" fontId="83" fillId="0" borderId="69" xfId="0" applyFont="1" applyFill="1" applyBorder="1" applyAlignment="1">
      <alignment horizontal="center" vertical="center" wrapText="1"/>
    </xf>
    <xf numFmtId="0" fontId="83" fillId="0" borderId="63" xfId="0" applyFont="1" applyFill="1" applyBorder="1" applyAlignment="1">
      <alignment horizontal="center" vertical="center" wrapText="1"/>
    </xf>
    <xf numFmtId="0" fontId="83" fillId="33" borderId="46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83" fillId="33" borderId="82" xfId="0" applyFont="1" applyFill="1" applyBorder="1" applyAlignment="1">
      <alignment horizontal="center" vertical="center" wrapText="1"/>
    </xf>
    <xf numFmtId="0" fontId="83" fillId="33" borderId="104" xfId="0" applyFont="1" applyFill="1" applyBorder="1" applyAlignment="1">
      <alignment horizontal="center" vertical="center" wrapText="1"/>
    </xf>
    <xf numFmtId="0" fontId="83" fillId="33" borderId="71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3" fillId="0" borderId="31" xfId="0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 shrinkToFit="1"/>
    </xf>
    <xf numFmtId="0" fontId="83" fillId="0" borderId="0" xfId="0" applyFont="1" applyFill="1" applyAlignment="1">
      <alignment horizontal="right" vertical="center" wrapText="1" shrinkToFit="1"/>
    </xf>
    <xf numFmtId="0" fontId="83" fillId="0" borderId="10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justify" vertical="center" wrapText="1"/>
    </xf>
    <xf numFmtId="0" fontId="61" fillId="0" borderId="38" xfId="0" applyFont="1" applyFill="1" applyBorder="1" applyAlignment="1">
      <alignment horizontal="justify" vertical="center" wrapText="1"/>
    </xf>
    <xf numFmtId="0" fontId="61" fillId="0" borderId="0" xfId="0" applyFont="1" applyFill="1" applyAlignment="1">
      <alignment horizontal="right" vertical="center" wrapText="1" shrinkToFit="1"/>
    </xf>
    <xf numFmtId="0" fontId="6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1" fillId="0" borderId="44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vertical="center" wrapText="1"/>
    </xf>
    <xf numFmtId="0" fontId="69" fillId="0" borderId="51" xfId="0" applyFont="1" applyFill="1" applyBorder="1" applyAlignment="1">
      <alignment vertical="center" wrapText="1"/>
    </xf>
    <xf numFmtId="0" fontId="69" fillId="0" borderId="44" xfId="0" applyFont="1" applyFill="1" applyBorder="1" applyAlignment="1">
      <alignment vertical="center" wrapText="1"/>
    </xf>
    <xf numFmtId="0" fontId="61" fillId="0" borderId="45" xfId="0" applyFont="1" applyFill="1" applyBorder="1" applyAlignment="1">
      <alignment vertical="center" wrapText="1"/>
    </xf>
    <xf numFmtId="0" fontId="61" fillId="0" borderId="51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horizontal="center" vertical="center" wrapText="1"/>
    </xf>
    <xf numFmtId="164" fontId="21" fillId="0" borderId="45" xfId="0" applyNumberFormat="1" applyFont="1" applyFill="1" applyBorder="1" applyAlignment="1">
      <alignment horizontal="center" vertical="center" wrapText="1"/>
    </xf>
    <xf numFmtId="164" fontId="21" fillId="0" borderId="51" xfId="0" applyNumberFormat="1" applyFont="1" applyFill="1" applyBorder="1" applyAlignment="1">
      <alignment horizontal="center" vertical="center" wrapText="1"/>
    </xf>
    <xf numFmtId="164" fontId="21" fillId="0" borderId="44" xfId="0" applyNumberFormat="1" applyFont="1" applyFill="1" applyBorder="1" applyAlignment="1">
      <alignment horizontal="center" vertical="center" wrapText="1"/>
    </xf>
    <xf numFmtId="0" fontId="61" fillId="0" borderId="97" xfId="0" applyFont="1" applyFill="1" applyBorder="1" applyAlignment="1">
      <alignment vertical="center" wrapText="1"/>
    </xf>
    <xf numFmtId="0" fontId="61" fillId="0" borderId="62" xfId="0" applyFont="1" applyFill="1" applyBorder="1" applyAlignment="1">
      <alignment wrapText="1"/>
    </xf>
    <xf numFmtId="0" fontId="61" fillId="0" borderId="55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105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/>
    </xf>
    <xf numFmtId="0" fontId="61" fillId="0" borderId="46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0" fontId="61" fillId="0" borderId="82" xfId="0" applyFont="1" applyFill="1" applyBorder="1" applyAlignment="1">
      <alignment horizontal="center" vertical="center" wrapText="1"/>
    </xf>
    <xf numFmtId="0" fontId="61" fillId="0" borderId="104" xfId="0" applyFont="1" applyFill="1" applyBorder="1" applyAlignment="1">
      <alignment horizontal="center" vertical="center" wrapText="1"/>
    </xf>
    <xf numFmtId="0" fontId="61" fillId="0" borderId="71" xfId="0" applyFont="1" applyFill="1" applyBorder="1" applyAlignment="1">
      <alignment horizontal="center" vertical="center" wrapText="1"/>
    </xf>
    <xf numFmtId="0" fontId="69" fillId="0" borderId="97" xfId="0" applyFont="1" applyFill="1" applyBorder="1" applyAlignment="1">
      <alignment vertical="center" wrapText="1"/>
    </xf>
    <xf numFmtId="0" fontId="69" fillId="0" borderId="38" xfId="0" applyFont="1" applyFill="1" applyBorder="1" applyAlignment="1">
      <alignment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61" fillId="0" borderId="81" xfId="0" applyFont="1" applyFill="1" applyBorder="1" applyAlignment="1">
      <alignment horizontal="center" vertical="center" wrapText="1"/>
    </xf>
    <xf numFmtId="0" fontId="61" fillId="0" borderId="101" xfId="0" applyFont="1" applyFill="1" applyBorder="1" applyAlignment="1">
      <alignment horizontal="center" vertical="center" wrapText="1"/>
    </xf>
    <xf numFmtId="0" fontId="61" fillId="0" borderId="108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61" fillId="0" borderId="109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61" fillId="0" borderId="63" xfId="0" applyFont="1" applyFill="1" applyBorder="1" applyAlignment="1">
      <alignment horizontal="center" vertical="center" wrapText="1"/>
    </xf>
    <xf numFmtId="0" fontId="61" fillId="0" borderId="110" xfId="0" applyFont="1" applyFill="1" applyBorder="1" applyAlignment="1">
      <alignment horizontal="left" vertical="center" wrapText="1"/>
    </xf>
    <xf numFmtId="0" fontId="61" fillId="0" borderId="111" xfId="0" applyFont="1" applyFill="1" applyBorder="1" applyAlignment="1">
      <alignment horizontal="left" vertical="center" wrapText="1"/>
    </xf>
    <xf numFmtId="0" fontId="61" fillId="0" borderId="112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/>
    </xf>
    <xf numFmtId="0" fontId="81" fillId="0" borderId="38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81" fillId="33" borderId="38" xfId="0" applyFont="1" applyFill="1" applyBorder="1" applyAlignment="1">
      <alignment/>
    </xf>
    <xf numFmtId="0" fontId="81" fillId="33" borderId="38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110" xfId="0" applyFont="1" applyFill="1" applyBorder="1" applyAlignment="1">
      <alignment horizontal="center" vertical="center" wrapText="1"/>
    </xf>
    <xf numFmtId="0" fontId="61" fillId="0" borderId="111" xfId="0" applyFont="1" applyFill="1" applyBorder="1" applyAlignment="1">
      <alignment horizontal="center" vertical="center" wrapText="1"/>
    </xf>
    <xf numFmtId="0" fontId="61" fillId="0" borderId="112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44" xfId="0" applyFont="1" applyBorder="1" applyAlignment="1">
      <alignment horizontal="justify" vertical="center" wrapText="1"/>
    </xf>
    <xf numFmtId="0" fontId="61" fillId="0" borderId="38" xfId="0" applyFont="1" applyBorder="1" applyAlignment="1">
      <alignment horizontal="justify" vertical="center" wrapText="1"/>
    </xf>
    <xf numFmtId="0" fontId="61" fillId="0" borderId="97" xfId="0" applyFont="1" applyBorder="1" applyAlignment="1">
      <alignment vertical="center" wrapText="1"/>
    </xf>
    <xf numFmtId="0" fontId="61" fillId="0" borderId="38" xfId="0" applyFont="1" applyBorder="1" applyAlignment="1">
      <alignment vertical="center" wrapText="1"/>
    </xf>
    <xf numFmtId="0" fontId="61" fillId="33" borderId="82" xfId="0" applyFont="1" applyFill="1" applyBorder="1" applyAlignment="1">
      <alignment horizontal="center" vertical="center" wrapText="1"/>
    </xf>
    <xf numFmtId="0" fontId="61" fillId="33" borderId="104" xfId="0" applyFont="1" applyFill="1" applyBorder="1" applyAlignment="1">
      <alignment horizontal="center" vertical="center" wrapText="1"/>
    </xf>
    <xf numFmtId="0" fontId="61" fillId="33" borderId="7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1" fillId="33" borderId="55" xfId="0" applyFont="1" applyFill="1" applyBorder="1" applyAlignment="1">
      <alignment horizontal="center" vertical="center" wrapText="1"/>
    </xf>
    <xf numFmtId="0" fontId="61" fillId="33" borderId="53" xfId="0" applyFont="1" applyFill="1" applyBorder="1" applyAlignment="1">
      <alignment horizontal="center" vertical="center" wrapText="1"/>
    </xf>
    <xf numFmtId="0" fontId="61" fillId="33" borderId="105" xfId="0" applyFont="1" applyFill="1" applyBorder="1" applyAlignment="1">
      <alignment horizontal="center" vertical="center" wrapText="1"/>
    </xf>
    <xf numFmtId="0" fontId="61" fillId="33" borderId="45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61" fillId="33" borderId="43" xfId="0" applyFont="1" applyFill="1" applyBorder="1" applyAlignment="1">
      <alignment horizontal="center" vertical="center" wrapText="1"/>
    </xf>
    <xf numFmtId="0" fontId="81" fillId="33" borderId="46" xfId="0" applyFont="1" applyFill="1" applyBorder="1" applyAlignment="1">
      <alignment/>
    </xf>
    <xf numFmtId="0" fontId="61" fillId="33" borderId="46" xfId="0" applyFont="1" applyFill="1" applyBorder="1" applyAlignment="1">
      <alignment horizontal="center" vertical="center" wrapText="1"/>
    </xf>
    <xf numFmtId="0" fontId="81" fillId="33" borderId="44" xfId="0" applyFont="1" applyFill="1" applyBorder="1" applyAlignment="1">
      <alignment horizontal="center" vertical="center" wrapText="1"/>
    </xf>
    <xf numFmtId="0" fontId="61" fillId="0" borderId="107" xfId="0" applyFont="1" applyFill="1" applyBorder="1" applyAlignment="1">
      <alignment horizontal="center" vertical="center" wrapText="1"/>
    </xf>
    <xf numFmtId="0" fontId="61" fillId="0" borderId="10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61" fillId="0" borderId="86" xfId="0" applyFont="1" applyFill="1" applyBorder="1" applyAlignment="1">
      <alignment horizontal="center" vertical="center" wrapText="1"/>
    </xf>
    <xf numFmtId="0" fontId="81" fillId="0" borderId="86" xfId="0" applyFont="1" applyFill="1" applyBorder="1" applyAlignment="1">
      <alignment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51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93" fillId="0" borderId="113" xfId="0" applyFont="1" applyFill="1" applyBorder="1" applyAlignment="1">
      <alignment horizontal="center" vertical="center" wrapText="1"/>
    </xf>
    <xf numFmtId="0" fontId="93" fillId="0" borderId="114" xfId="0" applyFont="1" applyFill="1" applyBorder="1" applyAlignment="1">
      <alignment horizontal="center" vertical="center" wrapText="1"/>
    </xf>
    <xf numFmtId="0" fontId="93" fillId="0" borderId="73" xfId="0" applyFont="1" applyFill="1" applyBorder="1" applyAlignment="1">
      <alignment horizontal="center" vertical="center" wrapText="1"/>
    </xf>
    <xf numFmtId="0" fontId="61" fillId="0" borderId="106" xfId="0" applyFont="1" applyFill="1" applyBorder="1" applyAlignment="1">
      <alignment horizontal="center" vertical="center" wrapText="1"/>
    </xf>
    <xf numFmtId="0" fontId="61" fillId="0" borderId="115" xfId="0" applyFont="1" applyFill="1" applyBorder="1" applyAlignment="1">
      <alignment horizontal="center" vertical="center" wrapText="1"/>
    </xf>
    <xf numFmtId="0" fontId="61" fillId="0" borderId="11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16" fillId="0" borderId="97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center" wrapText="1" shrinkToFit="1"/>
    </xf>
    <xf numFmtId="0" fontId="17" fillId="0" borderId="0" xfId="0" applyFont="1" applyFill="1" applyAlignment="1">
      <alignment horizontal="center" vertical="center"/>
    </xf>
    <xf numFmtId="0" fontId="16" fillId="0" borderId="44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108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0" fontId="16" fillId="0" borderId="118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09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11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justify" vertical="center" wrapText="1"/>
    </xf>
    <xf numFmtId="0" fontId="16" fillId="0" borderId="38" xfId="0" applyFont="1" applyFill="1" applyBorder="1" applyAlignment="1">
      <alignment horizontal="justify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8" fillId="33" borderId="86" xfId="0" applyFont="1" applyFill="1" applyBorder="1" applyAlignment="1">
      <alignment/>
    </xf>
    <xf numFmtId="0" fontId="16" fillId="33" borderId="86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6" fillId="33" borderId="82" xfId="0" applyFont="1" applyFill="1" applyBorder="1" applyAlignment="1">
      <alignment horizontal="center" vertical="center" wrapText="1"/>
    </xf>
    <xf numFmtId="0" fontId="16" fillId="33" borderId="104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 wrapText="1"/>
    </xf>
    <xf numFmtId="0" fontId="16" fillId="0" borderId="110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horizontal="center" vertical="center" wrapText="1"/>
    </xf>
    <xf numFmtId="0" fontId="16" fillId="0" borderId="1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17" fillId="0" borderId="0" xfId="53" applyFont="1" applyFill="1" applyAlignment="1">
      <alignment horizontal="left"/>
      <protection/>
    </xf>
    <xf numFmtId="0" fontId="69" fillId="0" borderId="0" xfId="0" applyFont="1" applyFill="1" applyAlignment="1">
      <alignment horizontal="left"/>
    </xf>
    <xf numFmtId="0" fontId="16" fillId="0" borderId="0" xfId="53" applyFont="1" applyFill="1" applyAlignment="1">
      <alignment horizontal="right" wrapText="1"/>
      <protection/>
    </xf>
    <xf numFmtId="0" fontId="17" fillId="0" borderId="62" xfId="53" applyFont="1" applyFill="1" applyBorder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2" xfId="55"/>
    <cellStyle name="Обычный_прил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tabSelected="1" zoomScale="60" zoomScaleNormal="60" zoomScaleSheetLayoutView="70" zoomScalePageLayoutView="90" workbookViewId="0" topLeftCell="A5">
      <pane xSplit="8" ySplit="4" topLeftCell="I94" activePane="bottomRight" state="frozen"/>
      <selection pane="topLeft" activeCell="A5" sqref="A5"/>
      <selection pane="topRight" activeCell="I5" sqref="I5"/>
      <selection pane="bottomLeft" activeCell="A8" sqref="A8"/>
      <selection pane="bottomRight" activeCell="U14" sqref="U14:V14"/>
    </sheetView>
  </sheetViews>
  <sheetFormatPr defaultColWidth="9.140625" defaultRowHeight="12.75"/>
  <cols>
    <col min="1" max="1" width="7.28125" style="5" customWidth="1"/>
    <col min="2" max="2" width="5.7109375" style="5" customWidth="1"/>
    <col min="3" max="3" width="4.57421875" style="5" customWidth="1"/>
    <col min="4" max="4" width="47.421875" style="5" customWidth="1"/>
    <col min="5" max="5" width="13.57421875" style="1" customWidth="1"/>
    <col min="6" max="6" width="18.8515625" style="1" customWidth="1"/>
    <col min="7" max="7" width="24.7109375" style="1" customWidth="1"/>
    <col min="8" max="8" width="0.2890625" style="2" hidden="1" customWidth="1"/>
    <col min="9" max="9" width="18.8515625" style="2" hidden="1" customWidth="1"/>
    <col min="10" max="10" width="17.28125" style="2" hidden="1" customWidth="1"/>
    <col min="11" max="11" width="0.5625" style="2" hidden="1" customWidth="1"/>
    <col min="12" max="14" width="18.8515625" style="2" customWidth="1"/>
    <col min="15" max="15" width="31.7109375" style="5" customWidth="1"/>
    <col min="16" max="16" width="24.421875" style="1" customWidth="1"/>
    <col min="17" max="17" width="15.7109375" style="5" hidden="1" customWidth="1"/>
    <col min="18" max="18" width="0.13671875" style="5" customWidth="1"/>
    <col min="19" max="19" width="12.8515625" style="5" hidden="1" customWidth="1"/>
    <col min="20" max="20" width="16.28125" style="5" customWidth="1"/>
    <col min="21" max="22" width="18.28125" style="5" customWidth="1"/>
    <col min="23" max="16384" width="9.140625" style="5" customWidth="1"/>
  </cols>
  <sheetData>
    <row r="1" spans="1:22" ht="66.75" customHeight="1">
      <c r="A1" s="867" t="s">
        <v>0</v>
      </c>
      <c r="B1" s="867"/>
      <c r="C1" s="867"/>
      <c r="D1" s="867"/>
      <c r="O1" s="3"/>
      <c r="Q1" s="868" t="s">
        <v>1</v>
      </c>
      <c r="R1" s="869"/>
      <c r="S1" s="869"/>
      <c r="T1" s="869"/>
      <c r="U1" s="869"/>
      <c r="V1" s="4"/>
    </row>
    <row r="2" spans="1:22" ht="12.75">
      <c r="A2" s="870" t="s">
        <v>2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1"/>
    </row>
    <row r="3" spans="1:22" ht="21" customHeight="1">
      <c r="A3" s="762" t="s">
        <v>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6"/>
    </row>
    <row r="4" spans="4:16" s="7" customFormat="1" ht="71.25" customHeight="1">
      <c r="D4" s="8"/>
      <c r="E4" s="9"/>
      <c r="F4" s="9"/>
      <c r="G4" s="9"/>
      <c r="H4" s="10"/>
      <c r="I4" s="10"/>
      <c r="J4" s="11"/>
      <c r="K4" s="11"/>
      <c r="L4" s="11"/>
      <c r="M4" s="11"/>
      <c r="N4" s="11"/>
      <c r="P4" s="12"/>
    </row>
    <row r="5" spans="1:20" s="7" customFormat="1" ht="71.25" customHeight="1" thickBot="1">
      <c r="A5" s="851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</row>
    <row r="6" spans="1:22" s="7" customFormat="1" ht="71.25" customHeight="1">
      <c r="A6" s="872" t="s">
        <v>4</v>
      </c>
      <c r="B6" s="875" t="s">
        <v>5</v>
      </c>
      <c r="C6" s="875" t="s">
        <v>6</v>
      </c>
      <c r="D6" s="878" t="s">
        <v>7</v>
      </c>
      <c r="E6" s="881" t="s">
        <v>8</v>
      </c>
      <c r="F6" s="881" t="s">
        <v>9</v>
      </c>
      <c r="G6" s="881" t="s">
        <v>10</v>
      </c>
      <c r="H6" s="890" t="s">
        <v>11</v>
      </c>
      <c r="I6" s="891"/>
      <c r="J6" s="891"/>
      <c r="K6" s="891"/>
      <c r="L6" s="891"/>
      <c r="M6" s="891"/>
      <c r="N6" s="892"/>
      <c r="O6" s="878" t="s">
        <v>12</v>
      </c>
      <c r="P6" s="878" t="s">
        <v>13</v>
      </c>
      <c r="Q6" s="878" t="s">
        <v>14</v>
      </c>
      <c r="R6" s="878" t="s">
        <v>14</v>
      </c>
      <c r="S6" s="884" t="s">
        <v>15</v>
      </c>
      <c r="T6" s="885"/>
      <c r="U6" s="885"/>
      <c r="V6" s="886"/>
    </row>
    <row r="7" spans="1:22" s="7" customFormat="1" ht="71.25" customHeight="1">
      <c r="A7" s="873"/>
      <c r="B7" s="876"/>
      <c r="C7" s="876"/>
      <c r="D7" s="879"/>
      <c r="E7" s="882"/>
      <c r="F7" s="882"/>
      <c r="G7" s="882"/>
      <c r="H7" s="893"/>
      <c r="I7" s="894"/>
      <c r="J7" s="894"/>
      <c r="K7" s="894"/>
      <c r="L7" s="894"/>
      <c r="M7" s="894"/>
      <c r="N7" s="895"/>
      <c r="O7" s="879"/>
      <c r="P7" s="879"/>
      <c r="Q7" s="879"/>
      <c r="R7" s="879"/>
      <c r="S7" s="887"/>
      <c r="T7" s="888"/>
      <c r="U7" s="888"/>
      <c r="V7" s="889"/>
    </row>
    <row r="8" spans="1:22" s="7" customFormat="1" ht="99.75" customHeight="1" thickBot="1">
      <c r="A8" s="874"/>
      <c r="B8" s="877"/>
      <c r="C8" s="877"/>
      <c r="D8" s="880"/>
      <c r="E8" s="883"/>
      <c r="F8" s="883"/>
      <c r="G8" s="883"/>
      <c r="H8" s="13" t="s">
        <v>16</v>
      </c>
      <c r="I8" s="13" t="s">
        <v>17</v>
      </c>
      <c r="J8" s="13" t="s">
        <v>18</v>
      </c>
      <c r="K8" s="13" t="s">
        <v>527</v>
      </c>
      <c r="L8" s="13" t="s">
        <v>19</v>
      </c>
      <c r="M8" s="13" t="s">
        <v>20</v>
      </c>
      <c r="N8" s="13" t="s">
        <v>21</v>
      </c>
      <c r="O8" s="880"/>
      <c r="P8" s="880"/>
      <c r="Q8" s="14" t="s">
        <v>16</v>
      </c>
      <c r="R8" s="14" t="s">
        <v>17</v>
      </c>
      <c r="S8" s="14" t="s">
        <v>18</v>
      </c>
      <c r="T8" s="14" t="s">
        <v>19</v>
      </c>
      <c r="U8" s="15" t="s">
        <v>20</v>
      </c>
      <c r="V8" s="16" t="s">
        <v>21</v>
      </c>
    </row>
    <row r="9" spans="1:22" s="17" customFormat="1" ht="72">
      <c r="A9" s="853">
        <v>1</v>
      </c>
      <c r="B9" s="856"/>
      <c r="C9" s="856"/>
      <c r="D9" s="824" t="s">
        <v>22</v>
      </c>
      <c r="E9" s="859" t="s">
        <v>23</v>
      </c>
      <c r="F9" s="862" t="s">
        <v>24</v>
      </c>
      <c r="G9" s="824"/>
      <c r="H9" s="805" t="e">
        <f aca="true" t="shared" si="0" ref="H9:N9">SUM(H13:H25)</f>
        <v>#REF!</v>
      </c>
      <c r="I9" s="805">
        <f t="shared" si="0"/>
        <v>74410.48981085695</v>
      </c>
      <c r="J9" s="805">
        <f t="shared" si="0"/>
        <v>81325.79999999999</v>
      </c>
      <c r="K9" s="511"/>
      <c r="L9" s="805">
        <f t="shared" si="0"/>
        <v>97860.4</v>
      </c>
      <c r="M9" s="805">
        <f t="shared" si="0"/>
        <v>98030.4</v>
      </c>
      <c r="N9" s="805">
        <f t="shared" si="0"/>
        <v>99841.73000000001</v>
      </c>
      <c r="O9" s="507" t="s">
        <v>25</v>
      </c>
      <c r="P9" s="509" t="s">
        <v>26</v>
      </c>
      <c r="Q9" s="76">
        <v>15.6</v>
      </c>
      <c r="R9" s="76">
        <v>14.8</v>
      </c>
      <c r="S9" s="76" t="s">
        <v>27</v>
      </c>
      <c r="T9" s="76" t="s">
        <v>27</v>
      </c>
      <c r="U9" s="76" t="s">
        <v>27</v>
      </c>
      <c r="V9" s="77" t="s">
        <v>27</v>
      </c>
    </row>
    <row r="10" spans="1:22" s="17" customFormat="1" ht="72">
      <c r="A10" s="854"/>
      <c r="B10" s="857"/>
      <c r="C10" s="857"/>
      <c r="D10" s="825"/>
      <c r="E10" s="860"/>
      <c r="F10" s="863"/>
      <c r="G10" s="825"/>
      <c r="H10" s="806"/>
      <c r="I10" s="806"/>
      <c r="J10" s="806"/>
      <c r="K10" s="512"/>
      <c r="L10" s="806"/>
      <c r="M10" s="806"/>
      <c r="N10" s="806"/>
      <c r="O10" s="508" t="s">
        <v>28</v>
      </c>
      <c r="P10" s="510" t="s">
        <v>29</v>
      </c>
      <c r="Q10" s="80">
        <v>31.2</v>
      </c>
      <c r="R10" s="80">
        <v>30.4</v>
      </c>
      <c r="S10" s="80" t="s">
        <v>30</v>
      </c>
      <c r="T10" s="80" t="s">
        <v>30</v>
      </c>
      <c r="U10" s="80" t="s">
        <v>30</v>
      </c>
      <c r="V10" s="81" t="s">
        <v>30</v>
      </c>
    </row>
    <row r="11" spans="1:22" s="17" customFormat="1" ht="54">
      <c r="A11" s="854"/>
      <c r="B11" s="857"/>
      <c r="C11" s="857"/>
      <c r="D11" s="825"/>
      <c r="E11" s="860"/>
      <c r="F11" s="863"/>
      <c r="G11" s="825"/>
      <c r="H11" s="806"/>
      <c r="I11" s="806"/>
      <c r="J11" s="806"/>
      <c r="K11" s="512"/>
      <c r="L11" s="806"/>
      <c r="M11" s="806"/>
      <c r="N11" s="806"/>
      <c r="O11" s="508" t="s">
        <v>31</v>
      </c>
      <c r="P11" s="510" t="s">
        <v>26</v>
      </c>
      <c r="Q11" s="80">
        <v>18.6</v>
      </c>
      <c r="R11" s="80">
        <v>17.3</v>
      </c>
      <c r="S11" s="80" t="s">
        <v>32</v>
      </c>
      <c r="T11" s="80" t="s">
        <v>32</v>
      </c>
      <c r="U11" s="80" t="s">
        <v>32</v>
      </c>
      <c r="V11" s="81" t="s">
        <v>32</v>
      </c>
    </row>
    <row r="12" spans="1:22" s="17" customFormat="1" ht="54">
      <c r="A12" s="855"/>
      <c r="B12" s="858"/>
      <c r="C12" s="858"/>
      <c r="D12" s="825"/>
      <c r="E12" s="861"/>
      <c r="F12" s="864"/>
      <c r="G12" s="825"/>
      <c r="H12" s="806"/>
      <c r="I12" s="806"/>
      <c r="J12" s="806"/>
      <c r="K12" s="512"/>
      <c r="L12" s="806"/>
      <c r="M12" s="806"/>
      <c r="N12" s="806"/>
      <c r="O12" s="82" t="s">
        <v>33</v>
      </c>
      <c r="P12" s="497" t="s">
        <v>34</v>
      </c>
      <c r="Q12" s="84">
        <v>279.7</v>
      </c>
      <c r="R12" s="84">
        <v>265.7</v>
      </c>
      <c r="S12" s="84">
        <v>262.9</v>
      </c>
      <c r="T12" s="84">
        <v>262.9</v>
      </c>
      <c r="U12" s="84">
        <v>262.9</v>
      </c>
      <c r="V12" s="516">
        <v>262.9</v>
      </c>
    </row>
    <row r="13" spans="1:22" s="17" customFormat="1" ht="36">
      <c r="A13" s="18">
        <v>1</v>
      </c>
      <c r="B13" s="19">
        <v>1</v>
      </c>
      <c r="C13" s="20"/>
      <c r="D13" s="21" t="s">
        <v>35</v>
      </c>
      <c r="E13" s="22" t="s">
        <v>23</v>
      </c>
      <c r="F13" s="184" t="s">
        <v>24</v>
      </c>
      <c r="G13" s="22" t="s">
        <v>36</v>
      </c>
      <c r="H13" s="23">
        <f>4222.5</f>
        <v>4222.5</v>
      </c>
      <c r="I13" s="23">
        <v>3206.4</v>
      </c>
      <c r="J13" s="23">
        <v>3685.7</v>
      </c>
      <c r="K13" s="23"/>
      <c r="L13" s="23">
        <v>4191</v>
      </c>
      <c r="M13" s="23">
        <f>4191</f>
        <v>4191</v>
      </c>
      <c r="N13" s="23">
        <f>4400.6</f>
        <v>4400.6</v>
      </c>
      <c r="O13" s="85" t="s">
        <v>37</v>
      </c>
      <c r="P13" s="86" t="s">
        <v>38</v>
      </c>
      <c r="Q13" s="86">
        <v>14.3</v>
      </c>
      <c r="R13" s="86">
        <v>15.5</v>
      </c>
      <c r="S13" s="86">
        <v>15.5</v>
      </c>
      <c r="T13" s="86">
        <v>15.5</v>
      </c>
      <c r="U13" s="86">
        <v>15.5</v>
      </c>
      <c r="V13" s="87">
        <v>15.5</v>
      </c>
    </row>
    <row r="14" spans="1:22" s="7" customFormat="1" ht="108">
      <c r="A14" s="24">
        <v>1</v>
      </c>
      <c r="B14" s="25">
        <v>2</v>
      </c>
      <c r="C14" s="26">
        <v>0</v>
      </c>
      <c r="D14" s="841" t="s">
        <v>39</v>
      </c>
      <c r="E14" s="843" t="s">
        <v>23</v>
      </c>
      <c r="F14" s="845" t="s">
        <v>40</v>
      </c>
      <c r="G14" s="847" t="s">
        <v>41</v>
      </c>
      <c r="H14" s="849">
        <v>3501.4</v>
      </c>
      <c r="I14" s="849">
        <v>3657</v>
      </c>
      <c r="J14" s="839">
        <v>3349.8</v>
      </c>
      <c r="K14" s="514"/>
      <c r="L14" s="839">
        <v>3745.5</v>
      </c>
      <c r="M14" s="839">
        <f>3745.5</f>
        <v>3745.5</v>
      </c>
      <c r="N14" s="839">
        <f>M14</f>
        <v>3745.5</v>
      </c>
      <c r="O14" s="88" t="s">
        <v>42</v>
      </c>
      <c r="P14" s="89" t="s">
        <v>38</v>
      </c>
      <c r="Q14" s="89">
        <v>13.1</v>
      </c>
      <c r="R14" s="90">
        <v>13.1</v>
      </c>
      <c r="S14" s="90" t="s">
        <v>43</v>
      </c>
      <c r="T14" s="90" t="s">
        <v>44</v>
      </c>
      <c r="U14" s="89" t="s">
        <v>44</v>
      </c>
      <c r="V14" s="546" t="s">
        <v>44</v>
      </c>
    </row>
    <row r="15" spans="1:22" s="7" customFormat="1" ht="36">
      <c r="A15" s="27"/>
      <c r="B15" s="28"/>
      <c r="C15" s="29"/>
      <c r="D15" s="842"/>
      <c r="E15" s="844"/>
      <c r="F15" s="846"/>
      <c r="G15" s="848"/>
      <c r="H15" s="850"/>
      <c r="I15" s="850"/>
      <c r="J15" s="840"/>
      <c r="K15" s="515"/>
      <c r="L15" s="840"/>
      <c r="M15" s="840"/>
      <c r="N15" s="840"/>
      <c r="O15" s="91" t="s">
        <v>45</v>
      </c>
      <c r="P15" s="92" t="s">
        <v>38</v>
      </c>
      <c r="Q15" s="92">
        <v>4.6</v>
      </c>
      <c r="R15" s="92">
        <v>4.6</v>
      </c>
      <c r="S15" s="92" t="s">
        <v>46</v>
      </c>
      <c r="T15" s="92" t="s">
        <v>46</v>
      </c>
      <c r="U15" s="92" t="s">
        <v>46</v>
      </c>
      <c r="V15" s="93" t="s">
        <v>46</v>
      </c>
    </row>
    <row r="16" spans="1:22" s="7" customFormat="1" ht="54">
      <c r="A16" s="18">
        <v>1</v>
      </c>
      <c r="B16" s="19">
        <v>3</v>
      </c>
      <c r="C16" s="30">
        <v>0</v>
      </c>
      <c r="D16" s="31" t="s">
        <v>47</v>
      </c>
      <c r="E16" s="32" t="s">
        <v>23</v>
      </c>
      <c r="F16" s="86" t="s">
        <v>48</v>
      </c>
      <c r="G16" s="32" t="s">
        <v>49</v>
      </c>
      <c r="H16" s="23">
        <v>4584.9</v>
      </c>
      <c r="I16" s="23">
        <v>4067.5</v>
      </c>
      <c r="J16" s="23">
        <v>4378.8</v>
      </c>
      <c r="K16" s="23"/>
      <c r="L16" s="23">
        <v>5006.3</v>
      </c>
      <c r="M16" s="23">
        <f>5006.3</f>
        <v>5006.3</v>
      </c>
      <c r="N16" s="23">
        <f>M16</f>
        <v>5006.3</v>
      </c>
      <c r="O16" s="85" t="s">
        <v>50</v>
      </c>
      <c r="P16" s="86" t="s">
        <v>51</v>
      </c>
      <c r="Q16" s="86">
        <v>39167</v>
      </c>
      <c r="R16" s="86">
        <v>49100</v>
      </c>
      <c r="S16" s="86">
        <v>49500</v>
      </c>
      <c r="T16" s="86">
        <v>49800</v>
      </c>
      <c r="U16" s="86">
        <v>50000</v>
      </c>
      <c r="V16" s="87">
        <v>50000</v>
      </c>
    </row>
    <row r="17" spans="1:22" s="7" customFormat="1" ht="84" customHeight="1">
      <c r="A17" s="18">
        <v>1</v>
      </c>
      <c r="B17" s="19">
        <v>4</v>
      </c>
      <c r="C17" s="30">
        <v>0</v>
      </c>
      <c r="D17" s="31" t="s">
        <v>52</v>
      </c>
      <c r="E17" s="32" t="s">
        <v>23</v>
      </c>
      <c r="F17" s="86" t="s">
        <v>53</v>
      </c>
      <c r="G17" s="32" t="s">
        <v>54</v>
      </c>
      <c r="H17" s="23">
        <v>1079.4</v>
      </c>
      <c r="I17" s="23">
        <v>1150.5</v>
      </c>
      <c r="J17" s="23">
        <v>1172.4</v>
      </c>
      <c r="K17" s="23"/>
      <c r="L17" s="23">
        <v>1301.4</v>
      </c>
      <c r="M17" s="23">
        <f>1301.4</f>
        <v>1301.4</v>
      </c>
      <c r="N17" s="23">
        <f>M17</f>
        <v>1301.4</v>
      </c>
      <c r="O17" s="94" t="s">
        <v>55</v>
      </c>
      <c r="P17" s="86" t="s">
        <v>51</v>
      </c>
      <c r="Q17" s="86"/>
      <c r="R17" s="86" t="s">
        <v>56</v>
      </c>
      <c r="S17" s="86" t="s">
        <v>88</v>
      </c>
      <c r="T17" s="86" t="s">
        <v>88</v>
      </c>
      <c r="U17" s="86" t="s">
        <v>88</v>
      </c>
      <c r="V17" s="87" t="s">
        <v>88</v>
      </c>
    </row>
    <row r="18" spans="1:22" s="7" customFormat="1" ht="72">
      <c r="A18" s="33">
        <v>1</v>
      </c>
      <c r="B18" s="34">
        <v>5</v>
      </c>
      <c r="C18" s="35">
        <v>0</v>
      </c>
      <c r="D18" s="505" t="s">
        <v>57</v>
      </c>
      <c r="E18" s="500" t="s">
        <v>23</v>
      </c>
      <c r="F18" s="501" t="s">
        <v>58</v>
      </c>
      <c r="G18" s="500" t="s">
        <v>40</v>
      </c>
      <c r="H18" s="504">
        <v>3275.7</v>
      </c>
      <c r="I18" s="504">
        <v>4903.889810856947</v>
      </c>
      <c r="J18" s="504">
        <v>12806.6</v>
      </c>
      <c r="K18" s="504"/>
      <c r="L18" s="539">
        <v>26528.4</v>
      </c>
      <c r="M18" s="535">
        <f>26528.4</f>
        <v>26528.4</v>
      </c>
      <c r="N18" s="535">
        <f>M18</f>
        <v>26528.4</v>
      </c>
      <c r="O18" s="95" t="s">
        <v>59</v>
      </c>
      <c r="P18" s="501" t="s">
        <v>60</v>
      </c>
      <c r="Q18" s="501">
        <v>18.7</v>
      </c>
      <c r="R18" s="501">
        <v>18.7</v>
      </c>
      <c r="S18" s="501">
        <v>18.7</v>
      </c>
      <c r="T18" s="501">
        <v>18.7</v>
      </c>
      <c r="U18" s="501">
        <v>18.7</v>
      </c>
      <c r="V18" s="97">
        <v>18.7</v>
      </c>
    </row>
    <row r="19" spans="1:22" s="7" customFormat="1" ht="90">
      <c r="A19" s="37">
        <v>1</v>
      </c>
      <c r="B19" s="38">
        <v>6</v>
      </c>
      <c r="C19" s="39"/>
      <c r="D19" s="40" t="s">
        <v>61</v>
      </c>
      <c r="E19" s="499" t="s">
        <v>23</v>
      </c>
      <c r="F19" s="510" t="s">
        <v>62</v>
      </c>
      <c r="G19" s="499"/>
      <c r="H19" s="496">
        <v>1317.7</v>
      </c>
      <c r="I19" s="496">
        <v>1394.9</v>
      </c>
      <c r="J19" s="496">
        <v>1329.9</v>
      </c>
      <c r="K19" s="496"/>
      <c r="L19" s="536">
        <v>1514.8</v>
      </c>
      <c r="M19" s="532">
        <f>1514.8</f>
        <v>1514.8</v>
      </c>
      <c r="N19" s="532">
        <f>M19</f>
        <v>1514.8</v>
      </c>
      <c r="O19" s="98" t="s">
        <v>63</v>
      </c>
      <c r="P19" s="510" t="s">
        <v>64</v>
      </c>
      <c r="Q19" s="510">
        <v>2</v>
      </c>
      <c r="R19" s="510">
        <v>3</v>
      </c>
      <c r="S19" s="510" t="s">
        <v>65</v>
      </c>
      <c r="T19" s="510" t="s">
        <v>65</v>
      </c>
      <c r="U19" s="510" t="s">
        <v>65</v>
      </c>
      <c r="V19" s="99" t="s">
        <v>65</v>
      </c>
    </row>
    <row r="20" spans="1:22" s="7" customFormat="1" ht="144">
      <c r="A20" s="37">
        <v>1</v>
      </c>
      <c r="B20" s="38">
        <v>7</v>
      </c>
      <c r="C20" s="39">
        <v>0</v>
      </c>
      <c r="D20" s="799" t="s">
        <v>66</v>
      </c>
      <c r="E20" s="774" t="s">
        <v>23</v>
      </c>
      <c r="F20" s="776" t="s">
        <v>494</v>
      </c>
      <c r="G20" s="774" t="s">
        <v>68</v>
      </c>
      <c r="H20" s="767" t="e">
        <f>3058.4-#REF!</f>
        <v>#REF!</v>
      </c>
      <c r="I20" s="767">
        <v>2245</v>
      </c>
      <c r="J20" s="767">
        <v>2473.2</v>
      </c>
      <c r="K20" s="502"/>
      <c r="L20" s="767">
        <v>2734.6</v>
      </c>
      <c r="M20" s="767">
        <f>2734.6</f>
        <v>2734.6</v>
      </c>
      <c r="N20" s="767">
        <f>M20*1.06</f>
        <v>2898.676</v>
      </c>
      <c r="O20" s="98" t="s">
        <v>242</v>
      </c>
      <c r="P20" s="510" t="s">
        <v>64</v>
      </c>
      <c r="Q20" s="510"/>
      <c r="R20" s="510">
        <v>2</v>
      </c>
      <c r="S20" s="510">
        <v>2</v>
      </c>
      <c r="T20" s="510">
        <v>2</v>
      </c>
      <c r="U20" s="510">
        <v>2</v>
      </c>
      <c r="V20" s="99">
        <v>2</v>
      </c>
    </row>
    <row r="21" spans="1:22" s="7" customFormat="1" ht="107.25" customHeight="1">
      <c r="A21" s="37"/>
      <c r="B21" s="38"/>
      <c r="C21" s="39"/>
      <c r="D21" s="800"/>
      <c r="E21" s="781"/>
      <c r="F21" s="783"/>
      <c r="G21" s="781"/>
      <c r="H21" s="769"/>
      <c r="I21" s="769"/>
      <c r="J21" s="769"/>
      <c r="K21" s="504"/>
      <c r="L21" s="769"/>
      <c r="M21" s="769"/>
      <c r="N21" s="769"/>
      <c r="O21" s="98" t="s">
        <v>70</v>
      </c>
      <c r="P21" s="510" t="s">
        <v>38</v>
      </c>
      <c r="Q21" s="510"/>
      <c r="R21" s="510">
        <v>100</v>
      </c>
      <c r="S21" s="510">
        <v>100</v>
      </c>
      <c r="T21" s="510">
        <v>100</v>
      </c>
      <c r="U21" s="510">
        <v>100</v>
      </c>
      <c r="V21" s="99">
        <v>100</v>
      </c>
    </row>
    <row r="22" spans="1:22" s="7" customFormat="1" ht="89.25" customHeight="1">
      <c r="A22" s="37">
        <v>1</v>
      </c>
      <c r="B22" s="38">
        <v>8</v>
      </c>
      <c r="C22" s="39"/>
      <c r="D22" s="865" t="s">
        <v>243</v>
      </c>
      <c r="E22" s="499" t="s">
        <v>23</v>
      </c>
      <c r="F22" s="510" t="s">
        <v>72</v>
      </c>
      <c r="G22" s="499" t="s">
        <v>73</v>
      </c>
      <c r="H22" s="496">
        <v>24822.1</v>
      </c>
      <c r="I22" s="767">
        <v>26929.1</v>
      </c>
      <c r="J22" s="767">
        <v>27169.3</v>
      </c>
      <c r="K22" s="502"/>
      <c r="L22" s="767">
        <f>27269.3+300</f>
        <v>27569.3</v>
      </c>
      <c r="M22" s="767">
        <f>27269.3+30</f>
        <v>27299.3</v>
      </c>
      <c r="N22" s="767">
        <f>M22</f>
        <v>27299.3</v>
      </c>
      <c r="O22" s="508" t="s">
        <v>74</v>
      </c>
      <c r="P22" s="510" t="s">
        <v>38</v>
      </c>
      <c r="Q22" s="100"/>
      <c r="R22" s="100">
        <v>34</v>
      </c>
      <c r="S22" s="100">
        <v>50</v>
      </c>
      <c r="T22" s="100">
        <v>60</v>
      </c>
      <c r="U22" s="100">
        <v>80</v>
      </c>
      <c r="V22" s="101">
        <v>80</v>
      </c>
    </row>
    <row r="23" spans="1:22" s="7" customFormat="1" ht="141.75" customHeight="1">
      <c r="A23" s="37"/>
      <c r="B23" s="38"/>
      <c r="C23" s="39"/>
      <c r="D23" s="866"/>
      <c r="E23" s="499" t="s">
        <v>23</v>
      </c>
      <c r="F23" s="510" t="s">
        <v>244</v>
      </c>
      <c r="G23" s="499"/>
      <c r="H23" s="496"/>
      <c r="I23" s="769"/>
      <c r="J23" s="769"/>
      <c r="K23" s="504"/>
      <c r="L23" s="769"/>
      <c r="M23" s="769"/>
      <c r="N23" s="769"/>
      <c r="O23" s="508" t="s">
        <v>511</v>
      </c>
      <c r="P23" s="510" t="s">
        <v>38</v>
      </c>
      <c r="Q23" s="100"/>
      <c r="R23" s="102"/>
      <c r="S23" s="100">
        <v>75</v>
      </c>
      <c r="T23" s="100">
        <v>75</v>
      </c>
      <c r="U23" s="100">
        <v>75</v>
      </c>
      <c r="V23" s="101">
        <v>75</v>
      </c>
    </row>
    <row r="24" spans="1:22" s="7" customFormat="1" ht="108" customHeight="1">
      <c r="A24" s="37">
        <v>1</v>
      </c>
      <c r="B24" s="38">
        <v>9</v>
      </c>
      <c r="C24" s="39"/>
      <c r="D24" s="40" t="s">
        <v>75</v>
      </c>
      <c r="E24" s="499" t="s">
        <v>23</v>
      </c>
      <c r="F24" s="510" t="s">
        <v>76</v>
      </c>
      <c r="G24" s="499"/>
      <c r="H24" s="496">
        <v>1411.2</v>
      </c>
      <c r="I24" s="496">
        <v>1490.7</v>
      </c>
      <c r="J24" s="496">
        <v>1439.2</v>
      </c>
      <c r="K24" s="496"/>
      <c r="L24" s="536">
        <v>1748.2</v>
      </c>
      <c r="M24" s="532">
        <f>1748.2</f>
        <v>1748.2</v>
      </c>
      <c r="N24" s="532">
        <f>M24</f>
        <v>1748.2</v>
      </c>
      <c r="O24" s="508" t="s">
        <v>77</v>
      </c>
      <c r="P24" s="510" t="s">
        <v>78</v>
      </c>
      <c r="Q24" s="100">
        <v>179</v>
      </c>
      <c r="R24" s="100">
        <v>184</v>
      </c>
      <c r="S24" s="100" t="s">
        <v>88</v>
      </c>
      <c r="T24" s="100" t="s">
        <v>88</v>
      </c>
      <c r="U24" s="100" t="s">
        <v>88</v>
      </c>
      <c r="V24" s="101" t="s">
        <v>88</v>
      </c>
    </row>
    <row r="25" spans="1:22" s="7" customFormat="1" ht="54">
      <c r="A25" s="830">
        <v>1</v>
      </c>
      <c r="B25" s="833">
        <v>10</v>
      </c>
      <c r="C25" s="836"/>
      <c r="D25" s="774" t="s">
        <v>79</v>
      </c>
      <c r="E25" s="774" t="s">
        <v>23</v>
      </c>
      <c r="F25" s="776" t="s">
        <v>80</v>
      </c>
      <c r="G25" s="774"/>
      <c r="H25" s="767">
        <v>20227.5</v>
      </c>
      <c r="I25" s="767">
        <v>25365.5</v>
      </c>
      <c r="J25" s="767">
        <v>23520.9</v>
      </c>
      <c r="K25" s="502"/>
      <c r="L25" s="767">
        <f>14720.9+8800</f>
        <v>23520.9</v>
      </c>
      <c r="M25" s="767">
        <f>14720.9+8800*1.05</f>
        <v>23960.9</v>
      </c>
      <c r="N25" s="767">
        <f>M25*1.06</f>
        <v>25398.554000000004</v>
      </c>
      <c r="O25" s="508" t="s">
        <v>81</v>
      </c>
      <c r="P25" s="510" t="s">
        <v>64</v>
      </c>
      <c r="Q25" s="510">
        <v>12383</v>
      </c>
      <c r="R25" s="510">
        <v>13525</v>
      </c>
      <c r="S25" s="510">
        <v>13525</v>
      </c>
      <c r="T25" s="510">
        <v>13600</v>
      </c>
      <c r="U25" s="510">
        <v>13650</v>
      </c>
      <c r="V25" s="99">
        <v>13700</v>
      </c>
    </row>
    <row r="26" spans="1:22" s="7" customFormat="1" ht="36">
      <c r="A26" s="831"/>
      <c r="B26" s="834"/>
      <c r="C26" s="837"/>
      <c r="D26" s="780"/>
      <c r="E26" s="780"/>
      <c r="F26" s="782"/>
      <c r="G26" s="780"/>
      <c r="H26" s="768"/>
      <c r="I26" s="768"/>
      <c r="J26" s="768"/>
      <c r="K26" s="503"/>
      <c r="L26" s="768"/>
      <c r="M26" s="768"/>
      <c r="N26" s="768"/>
      <c r="O26" s="508" t="s">
        <v>82</v>
      </c>
      <c r="P26" s="510" t="s">
        <v>83</v>
      </c>
      <c r="Q26" s="103">
        <v>293580</v>
      </c>
      <c r="R26" s="104">
        <v>295188</v>
      </c>
      <c r="S26" s="104">
        <v>300000</v>
      </c>
      <c r="T26" s="104">
        <v>300100</v>
      </c>
      <c r="U26" s="104">
        <v>300200</v>
      </c>
      <c r="V26" s="105">
        <v>300200</v>
      </c>
    </row>
    <row r="27" spans="1:22" s="7" customFormat="1" ht="54">
      <c r="A27" s="831"/>
      <c r="B27" s="834"/>
      <c r="C27" s="837"/>
      <c r="D27" s="780"/>
      <c r="E27" s="780"/>
      <c r="F27" s="782"/>
      <c r="G27" s="780"/>
      <c r="H27" s="768"/>
      <c r="I27" s="768"/>
      <c r="J27" s="768"/>
      <c r="K27" s="503"/>
      <c r="L27" s="768"/>
      <c r="M27" s="768"/>
      <c r="N27" s="768"/>
      <c r="O27" s="508" t="s">
        <v>84</v>
      </c>
      <c r="P27" s="510" t="s">
        <v>83</v>
      </c>
      <c r="Q27" s="501">
        <v>1059</v>
      </c>
      <c r="R27" s="501">
        <v>2058</v>
      </c>
      <c r="S27" s="106">
        <v>2100</v>
      </c>
      <c r="T27" s="106">
        <v>2200</v>
      </c>
      <c r="U27" s="106">
        <v>2300</v>
      </c>
      <c r="V27" s="107">
        <v>2300</v>
      </c>
    </row>
    <row r="28" spans="1:22" s="7" customFormat="1" ht="36.75" thickBot="1">
      <c r="A28" s="832"/>
      <c r="B28" s="835"/>
      <c r="C28" s="838"/>
      <c r="D28" s="775"/>
      <c r="E28" s="775"/>
      <c r="F28" s="777"/>
      <c r="G28" s="775"/>
      <c r="H28" s="817"/>
      <c r="I28" s="817"/>
      <c r="J28" s="817"/>
      <c r="K28" s="513"/>
      <c r="L28" s="817"/>
      <c r="M28" s="817"/>
      <c r="N28" s="817"/>
      <c r="O28" s="108" t="s">
        <v>85</v>
      </c>
      <c r="P28" s="109" t="s">
        <v>83</v>
      </c>
      <c r="Q28" s="498">
        <v>240</v>
      </c>
      <c r="R28" s="498">
        <v>250</v>
      </c>
      <c r="S28" s="498" t="s">
        <v>88</v>
      </c>
      <c r="T28" s="498" t="s">
        <v>88</v>
      </c>
      <c r="U28" s="498" t="s">
        <v>88</v>
      </c>
      <c r="V28" s="517" t="s">
        <v>88</v>
      </c>
    </row>
    <row r="29" spans="1:22" s="7" customFormat="1" ht="17.25" customHeight="1" hidden="1">
      <c r="A29" s="818" t="s">
        <v>86</v>
      </c>
      <c r="B29" s="821"/>
      <c r="C29" s="44"/>
      <c r="D29" s="822" t="s">
        <v>87</v>
      </c>
      <c r="E29" s="824"/>
      <c r="F29" s="827"/>
      <c r="G29" s="824"/>
      <c r="H29" s="805">
        <f>SUM(H32:H53)</f>
        <v>810657.4400375427</v>
      </c>
      <c r="I29" s="805">
        <f>SUM(I32:I53)</f>
        <v>896591.6000000001</v>
      </c>
      <c r="J29" s="805">
        <f>SUM(J32:J53)</f>
        <v>819909.2000000001</v>
      </c>
      <c r="K29" s="493"/>
      <c r="L29" s="805">
        <f>SUM(L32:L53)</f>
        <v>965863.4999999999</v>
      </c>
      <c r="M29" s="805">
        <f>SUM(M32:M53)</f>
        <v>966441.8579999999</v>
      </c>
      <c r="N29" s="805">
        <f>SUM(N32:N53)</f>
        <v>967541.4994799999</v>
      </c>
      <c r="O29" s="110"/>
      <c r="P29" s="75"/>
      <c r="Q29" s="111"/>
      <c r="R29" s="111"/>
      <c r="S29" s="111"/>
      <c r="T29" s="111"/>
      <c r="U29" s="111"/>
      <c r="V29" s="112"/>
    </row>
    <row r="30" spans="1:22" s="7" customFormat="1" ht="126">
      <c r="A30" s="819"/>
      <c r="B30" s="791"/>
      <c r="C30" s="45"/>
      <c r="D30" s="823"/>
      <c r="E30" s="825"/>
      <c r="F30" s="828"/>
      <c r="G30" s="825"/>
      <c r="H30" s="806"/>
      <c r="I30" s="806"/>
      <c r="J30" s="806"/>
      <c r="K30" s="494"/>
      <c r="L30" s="806"/>
      <c r="M30" s="806"/>
      <c r="N30" s="806"/>
      <c r="O30" s="113" t="s">
        <v>236</v>
      </c>
      <c r="P30" s="96" t="s">
        <v>83</v>
      </c>
      <c r="Q30" s="114"/>
      <c r="R30" s="114"/>
      <c r="S30" s="114" t="s">
        <v>88</v>
      </c>
      <c r="T30" s="114" t="s">
        <v>88</v>
      </c>
      <c r="U30" s="114" t="s">
        <v>88</v>
      </c>
      <c r="V30" s="115" t="s">
        <v>88</v>
      </c>
    </row>
    <row r="31" spans="1:22" s="7" customFormat="1" ht="108">
      <c r="A31" s="820"/>
      <c r="B31" s="787"/>
      <c r="C31" s="45"/>
      <c r="D31" s="800"/>
      <c r="E31" s="826"/>
      <c r="F31" s="829"/>
      <c r="G31" s="826"/>
      <c r="H31" s="807"/>
      <c r="I31" s="807"/>
      <c r="J31" s="807"/>
      <c r="K31" s="495"/>
      <c r="L31" s="807"/>
      <c r="M31" s="807"/>
      <c r="N31" s="807"/>
      <c r="O31" s="113" t="s">
        <v>89</v>
      </c>
      <c r="P31" s="96" t="s">
        <v>83</v>
      </c>
      <c r="Q31" s="114"/>
      <c r="R31" s="114" t="s">
        <v>237</v>
      </c>
      <c r="S31" s="114" t="s">
        <v>88</v>
      </c>
      <c r="T31" s="114" t="s">
        <v>88</v>
      </c>
      <c r="U31" s="114" t="s">
        <v>88</v>
      </c>
      <c r="V31" s="115" t="s">
        <v>88</v>
      </c>
    </row>
    <row r="32" spans="1:22" s="7" customFormat="1" ht="90">
      <c r="A32" s="784"/>
      <c r="B32" s="786" t="s">
        <v>90</v>
      </c>
      <c r="C32" s="786"/>
      <c r="D32" s="796" t="s">
        <v>91</v>
      </c>
      <c r="E32" s="774"/>
      <c r="F32" s="776" t="s">
        <v>92</v>
      </c>
      <c r="G32" s="774" t="s">
        <v>93</v>
      </c>
      <c r="H32" s="767">
        <f>1679.94003754279+33478.6+352727.2</f>
        <v>387885.74003754277</v>
      </c>
      <c r="I32" s="767">
        <v>546303.6</v>
      </c>
      <c r="J32" s="767">
        <v>526962.8</v>
      </c>
      <c r="K32" s="488"/>
      <c r="L32" s="767">
        <f>408357.1+162537.1</f>
        <v>570894.2</v>
      </c>
      <c r="M32" s="767">
        <f>408357.1+162537.1</f>
        <v>570894.2</v>
      </c>
      <c r="N32" s="767">
        <f>M32</f>
        <v>570894.2</v>
      </c>
      <c r="O32" s="78" t="s">
        <v>94</v>
      </c>
      <c r="P32" s="79" t="s">
        <v>95</v>
      </c>
      <c r="Q32" s="79">
        <v>15</v>
      </c>
      <c r="R32" s="80">
        <v>14</v>
      </c>
      <c r="S32" s="80">
        <v>15</v>
      </c>
      <c r="T32" s="80">
        <v>16</v>
      </c>
      <c r="U32" s="80">
        <v>17</v>
      </c>
      <c r="V32" s="81">
        <v>18</v>
      </c>
    </row>
    <row r="33" spans="1:22" s="7" customFormat="1" ht="90">
      <c r="A33" s="790"/>
      <c r="B33" s="791"/>
      <c r="C33" s="791"/>
      <c r="D33" s="798"/>
      <c r="E33" s="780"/>
      <c r="F33" s="782"/>
      <c r="G33" s="780"/>
      <c r="H33" s="768"/>
      <c r="I33" s="768"/>
      <c r="J33" s="768"/>
      <c r="K33" s="489"/>
      <c r="L33" s="768"/>
      <c r="M33" s="768"/>
      <c r="N33" s="768"/>
      <c r="O33" s="78" t="s">
        <v>96</v>
      </c>
      <c r="P33" s="79" t="s">
        <v>97</v>
      </c>
      <c r="Q33" s="79">
        <v>54</v>
      </c>
      <c r="R33" s="80">
        <v>57</v>
      </c>
      <c r="S33" s="80">
        <v>57</v>
      </c>
      <c r="T33" s="80">
        <v>57</v>
      </c>
      <c r="U33" s="80">
        <v>57</v>
      </c>
      <c r="V33" s="81">
        <v>57</v>
      </c>
    </row>
    <row r="34" spans="1:22" s="7" customFormat="1" ht="54">
      <c r="A34" s="790"/>
      <c r="B34" s="791"/>
      <c r="C34" s="791"/>
      <c r="D34" s="798"/>
      <c r="E34" s="780"/>
      <c r="F34" s="782"/>
      <c r="G34" s="780"/>
      <c r="H34" s="768"/>
      <c r="I34" s="768"/>
      <c r="J34" s="768"/>
      <c r="K34" s="489"/>
      <c r="L34" s="768"/>
      <c r="M34" s="768"/>
      <c r="N34" s="768"/>
      <c r="O34" s="78" t="s">
        <v>98</v>
      </c>
      <c r="P34" s="79" t="s">
        <v>99</v>
      </c>
      <c r="Q34" s="79">
        <v>498.6</v>
      </c>
      <c r="R34" s="84">
        <v>12.4</v>
      </c>
      <c r="S34" s="84">
        <v>12.4</v>
      </c>
      <c r="T34" s="84">
        <v>12.2</v>
      </c>
      <c r="U34" s="84">
        <v>12</v>
      </c>
      <c r="V34" s="405">
        <v>11.9</v>
      </c>
    </row>
    <row r="35" spans="1:22" s="7" customFormat="1" ht="54">
      <c r="A35" s="790"/>
      <c r="B35" s="791"/>
      <c r="C35" s="791"/>
      <c r="D35" s="798"/>
      <c r="E35" s="780"/>
      <c r="F35" s="782"/>
      <c r="G35" s="780"/>
      <c r="H35" s="768"/>
      <c r="I35" s="768"/>
      <c r="J35" s="768"/>
      <c r="K35" s="489"/>
      <c r="L35" s="768"/>
      <c r="M35" s="768"/>
      <c r="N35" s="768"/>
      <c r="O35" s="78" t="s">
        <v>100</v>
      </c>
      <c r="P35" s="79" t="s">
        <v>99</v>
      </c>
      <c r="Q35" s="403">
        <v>144.2</v>
      </c>
      <c r="R35" s="404">
        <v>164</v>
      </c>
      <c r="S35" s="404">
        <v>150</v>
      </c>
      <c r="T35" s="404">
        <v>145.5</v>
      </c>
      <c r="U35" s="404">
        <v>144</v>
      </c>
      <c r="V35" s="406">
        <v>140</v>
      </c>
    </row>
    <row r="36" spans="1:22" s="7" customFormat="1" ht="54">
      <c r="A36" s="785"/>
      <c r="B36" s="787"/>
      <c r="C36" s="787"/>
      <c r="D36" s="797"/>
      <c r="E36" s="781"/>
      <c r="F36" s="783"/>
      <c r="G36" s="781"/>
      <c r="H36" s="769"/>
      <c r="I36" s="769"/>
      <c r="J36" s="769"/>
      <c r="K36" s="490"/>
      <c r="L36" s="769"/>
      <c r="M36" s="769"/>
      <c r="N36" s="769"/>
      <c r="O36" s="78" t="s">
        <v>101</v>
      </c>
      <c r="P36" s="79" t="s">
        <v>99</v>
      </c>
      <c r="Q36" s="403">
        <v>517.6</v>
      </c>
      <c r="R36" s="404">
        <v>498</v>
      </c>
      <c r="S36" s="404">
        <v>490</v>
      </c>
      <c r="T36" s="404">
        <v>485</v>
      </c>
      <c r="U36" s="404">
        <v>480</v>
      </c>
      <c r="V36" s="406">
        <v>475</v>
      </c>
    </row>
    <row r="37" spans="1:22" s="7" customFormat="1" ht="72">
      <c r="A37" s="784"/>
      <c r="B37" s="786" t="s">
        <v>102</v>
      </c>
      <c r="C37" s="786"/>
      <c r="D37" s="799" t="s">
        <v>103</v>
      </c>
      <c r="E37" s="41"/>
      <c r="F37" s="79" t="s">
        <v>92</v>
      </c>
      <c r="G37" s="41" t="s">
        <v>104</v>
      </c>
      <c r="H37" s="767">
        <f>111169.6+15407+48400</f>
        <v>174976.6</v>
      </c>
      <c r="I37" s="767">
        <v>88131</v>
      </c>
      <c r="J37" s="767">
        <v>13004.8</v>
      </c>
      <c r="K37" s="488"/>
      <c r="L37" s="767">
        <f>97477.5+22751.7</f>
        <v>120229.2</v>
      </c>
      <c r="M37" s="767">
        <f>97477.5+22751.7</f>
        <v>120229.2</v>
      </c>
      <c r="N37" s="767">
        <f>M37</f>
        <v>120229.2</v>
      </c>
      <c r="O37" s="78" t="s">
        <v>105</v>
      </c>
      <c r="P37" s="79" t="s">
        <v>106</v>
      </c>
      <c r="Q37" s="78" t="s">
        <v>107</v>
      </c>
      <c r="R37" s="397">
        <v>94.1</v>
      </c>
      <c r="S37" s="397" t="s">
        <v>350</v>
      </c>
      <c r="T37" s="397" t="s">
        <v>350</v>
      </c>
      <c r="U37" s="397" t="s">
        <v>350</v>
      </c>
      <c r="V37" s="397" t="s">
        <v>350</v>
      </c>
    </row>
    <row r="38" spans="1:22" s="7" customFormat="1" ht="126">
      <c r="A38" s="785"/>
      <c r="B38" s="787"/>
      <c r="C38" s="787"/>
      <c r="D38" s="800"/>
      <c r="E38" s="41"/>
      <c r="F38" s="79"/>
      <c r="G38" s="41" t="s">
        <v>108</v>
      </c>
      <c r="H38" s="769"/>
      <c r="I38" s="769"/>
      <c r="J38" s="769"/>
      <c r="K38" s="490"/>
      <c r="L38" s="769"/>
      <c r="M38" s="769"/>
      <c r="N38" s="769"/>
      <c r="O38" s="78" t="s">
        <v>109</v>
      </c>
      <c r="P38" s="79" t="s">
        <v>106</v>
      </c>
      <c r="Q38" s="78" t="s">
        <v>110</v>
      </c>
      <c r="R38" s="118">
        <v>95</v>
      </c>
      <c r="S38" s="397" t="s">
        <v>348</v>
      </c>
      <c r="T38" s="397" t="s">
        <v>348</v>
      </c>
      <c r="U38" s="397" t="s">
        <v>348</v>
      </c>
      <c r="V38" s="397" t="s">
        <v>348</v>
      </c>
    </row>
    <row r="39" spans="1:22" s="7" customFormat="1" ht="72">
      <c r="A39" s="784"/>
      <c r="B39" s="814" t="s">
        <v>111</v>
      </c>
      <c r="C39" s="786"/>
      <c r="D39" s="816" t="s">
        <v>112</v>
      </c>
      <c r="E39" s="774"/>
      <c r="F39" s="776" t="s">
        <v>92</v>
      </c>
      <c r="G39" s="778" t="s">
        <v>113</v>
      </c>
      <c r="H39" s="763">
        <f>-2800+37446.5</f>
        <v>34646.5</v>
      </c>
      <c r="I39" s="763">
        <v>40544.9</v>
      </c>
      <c r="J39" s="763">
        <v>42548.7</v>
      </c>
      <c r="K39" s="486"/>
      <c r="L39" s="763">
        <f>15358.7+523.5</f>
        <v>15882.2</v>
      </c>
      <c r="M39" s="763">
        <f>15358.7+523.5</f>
        <v>15882.2</v>
      </c>
      <c r="N39" s="763">
        <f>M39</f>
        <v>15882.2</v>
      </c>
      <c r="O39" s="78" t="s">
        <v>241</v>
      </c>
      <c r="P39" s="79" t="s">
        <v>95</v>
      </c>
      <c r="Q39" s="78">
        <v>4</v>
      </c>
      <c r="R39" s="506">
        <v>250</v>
      </c>
      <c r="S39" s="506">
        <v>250</v>
      </c>
      <c r="T39" s="506">
        <v>250</v>
      </c>
      <c r="U39" s="506">
        <v>250</v>
      </c>
      <c r="V39" s="518">
        <v>250</v>
      </c>
    </row>
    <row r="40" spans="1:22" s="7" customFormat="1" ht="90">
      <c r="A40" s="790"/>
      <c r="B40" s="815"/>
      <c r="C40" s="791"/>
      <c r="D40" s="816"/>
      <c r="E40" s="780"/>
      <c r="F40" s="782"/>
      <c r="G40" s="778"/>
      <c r="H40" s="763"/>
      <c r="I40" s="763"/>
      <c r="J40" s="763"/>
      <c r="K40" s="486"/>
      <c r="L40" s="763"/>
      <c r="M40" s="763"/>
      <c r="N40" s="763"/>
      <c r="O40" s="78" t="s">
        <v>238</v>
      </c>
      <c r="P40" s="79" t="s">
        <v>114</v>
      </c>
      <c r="Q40" s="78">
        <v>150</v>
      </c>
      <c r="R40" s="506">
        <v>200</v>
      </c>
      <c r="S40" s="119">
        <v>230</v>
      </c>
      <c r="T40" s="119">
        <v>230</v>
      </c>
      <c r="U40" s="119">
        <v>250</v>
      </c>
      <c r="V40" s="120">
        <v>250</v>
      </c>
    </row>
    <row r="41" spans="1:22" s="7" customFormat="1" ht="72">
      <c r="A41" s="790"/>
      <c r="B41" s="815"/>
      <c r="C41" s="791"/>
      <c r="D41" s="816"/>
      <c r="E41" s="780"/>
      <c r="F41" s="782"/>
      <c r="G41" s="778"/>
      <c r="H41" s="763"/>
      <c r="I41" s="763"/>
      <c r="J41" s="763"/>
      <c r="K41" s="486"/>
      <c r="L41" s="763"/>
      <c r="M41" s="763"/>
      <c r="N41" s="763"/>
      <c r="O41" s="78" t="s">
        <v>115</v>
      </c>
      <c r="P41" s="79" t="s">
        <v>114</v>
      </c>
      <c r="Q41" s="78">
        <v>2000</v>
      </c>
      <c r="R41" s="506">
        <v>2000</v>
      </c>
      <c r="S41" s="119">
        <v>2000</v>
      </c>
      <c r="T41" s="119">
        <v>2000</v>
      </c>
      <c r="U41" s="119">
        <v>2000</v>
      </c>
      <c r="V41" s="120">
        <v>2000</v>
      </c>
    </row>
    <row r="42" spans="1:22" s="7" customFormat="1" ht="90">
      <c r="A42" s="790"/>
      <c r="B42" s="815"/>
      <c r="C42" s="791"/>
      <c r="D42" s="816"/>
      <c r="E42" s="780"/>
      <c r="F42" s="782"/>
      <c r="G42" s="778"/>
      <c r="H42" s="763"/>
      <c r="I42" s="763"/>
      <c r="J42" s="763"/>
      <c r="K42" s="486"/>
      <c r="L42" s="763"/>
      <c r="M42" s="763"/>
      <c r="N42" s="763"/>
      <c r="O42" s="78" t="s">
        <v>239</v>
      </c>
      <c r="P42" s="79" t="s">
        <v>95</v>
      </c>
      <c r="Q42" s="78">
        <v>15</v>
      </c>
      <c r="R42" s="506">
        <v>15</v>
      </c>
      <c r="S42" s="119">
        <v>15</v>
      </c>
      <c r="T42" s="119">
        <v>15</v>
      </c>
      <c r="U42" s="119">
        <v>15</v>
      </c>
      <c r="V42" s="120">
        <v>15</v>
      </c>
    </row>
    <row r="43" spans="1:22" s="7" customFormat="1" ht="17.25" customHeight="1" hidden="1">
      <c r="A43" s="790"/>
      <c r="B43" s="815"/>
      <c r="C43" s="791"/>
      <c r="D43" s="816"/>
      <c r="E43" s="780"/>
      <c r="F43" s="782"/>
      <c r="G43" s="778"/>
      <c r="H43" s="763"/>
      <c r="I43" s="763"/>
      <c r="J43" s="763"/>
      <c r="K43" s="486"/>
      <c r="L43" s="763"/>
      <c r="M43" s="763"/>
      <c r="N43" s="763"/>
      <c r="O43" s="78"/>
      <c r="P43" s="79"/>
      <c r="Q43" s="119"/>
      <c r="R43" s="118"/>
      <c r="S43" s="119"/>
      <c r="T43" s="119"/>
      <c r="U43" s="119"/>
      <c r="V43" s="120"/>
    </row>
    <row r="44" spans="1:22" s="7" customFormat="1" ht="77.25" customHeight="1">
      <c r="A44" s="790"/>
      <c r="B44" s="815"/>
      <c r="C44" s="791"/>
      <c r="D44" s="816"/>
      <c r="E44" s="780"/>
      <c r="F44" s="782"/>
      <c r="G44" s="778"/>
      <c r="H44" s="763"/>
      <c r="I44" s="763"/>
      <c r="J44" s="763"/>
      <c r="K44" s="486"/>
      <c r="L44" s="763"/>
      <c r="M44" s="763"/>
      <c r="N44" s="763"/>
      <c r="O44" s="78" t="s">
        <v>116</v>
      </c>
      <c r="P44" s="79" t="s">
        <v>117</v>
      </c>
      <c r="Q44" s="78">
        <v>4</v>
      </c>
      <c r="R44" s="506">
        <v>4</v>
      </c>
      <c r="S44" s="119">
        <v>4</v>
      </c>
      <c r="T44" s="119">
        <v>4</v>
      </c>
      <c r="U44" s="119">
        <v>4</v>
      </c>
      <c r="V44" s="120">
        <v>4</v>
      </c>
    </row>
    <row r="45" spans="1:22" s="7" customFormat="1" ht="108.75" customHeight="1">
      <c r="A45" s="790"/>
      <c r="B45" s="815"/>
      <c r="C45" s="791"/>
      <c r="D45" s="816"/>
      <c r="E45" s="780"/>
      <c r="F45" s="782"/>
      <c r="G45" s="778"/>
      <c r="H45" s="763"/>
      <c r="I45" s="763"/>
      <c r="J45" s="763"/>
      <c r="K45" s="486"/>
      <c r="L45" s="763"/>
      <c r="M45" s="763"/>
      <c r="N45" s="763"/>
      <c r="O45" s="78" t="s">
        <v>240</v>
      </c>
      <c r="P45" s="79" t="s">
        <v>117</v>
      </c>
      <c r="Q45" s="78">
        <v>4</v>
      </c>
      <c r="R45" s="506">
        <v>4</v>
      </c>
      <c r="S45" s="119">
        <v>4</v>
      </c>
      <c r="T45" s="119">
        <v>4</v>
      </c>
      <c r="U45" s="119">
        <v>4</v>
      </c>
      <c r="V45" s="120">
        <v>4</v>
      </c>
    </row>
    <row r="46" spans="1:22" s="7" customFormat="1" ht="90">
      <c r="A46" s="790"/>
      <c r="B46" s="815"/>
      <c r="C46" s="791"/>
      <c r="D46" s="816"/>
      <c r="E46" s="780"/>
      <c r="F46" s="782"/>
      <c r="G46" s="778"/>
      <c r="H46" s="763"/>
      <c r="I46" s="763"/>
      <c r="J46" s="763"/>
      <c r="K46" s="486"/>
      <c r="L46" s="763"/>
      <c r="M46" s="763"/>
      <c r="N46" s="763"/>
      <c r="O46" s="78" t="s">
        <v>238</v>
      </c>
      <c r="P46" s="79" t="s">
        <v>114</v>
      </c>
      <c r="Q46" s="78">
        <v>200</v>
      </c>
      <c r="R46" s="506">
        <v>200</v>
      </c>
      <c r="S46" s="119">
        <v>230</v>
      </c>
      <c r="T46" s="119">
        <v>230</v>
      </c>
      <c r="U46" s="119">
        <v>230</v>
      </c>
      <c r="V46" s="120">
        <v>230</v>
      </c>
    </row>
    <row r="47" spans="1:22" s="7" customFormat="1" ht="54">
      <c r="A47" s="790"/>
      <c r="B47" s="815"/>
      <c r="C47" s="791"/>
      <c r="D47" s="816"/>
      <c r="E47" s="780"/>
      <c r="F47" s="782"/>
      <c r="G47" s="778"/>
      <c r="H47" s="763"/>
      <c r="I47" s="763"/>
      <c r="J47" s="763"/>
      <c r="K47" s="486"/>
      <c r="L47" s="763"/>
      <c r="M47" s="763"/>
      <c r="N47" s="763"/>
      <c r="O47" s="78" t="s">
        <v>118</v>
      </c>
      <c r="P47" s="79" t="s">
        <v>117</v>
      </c>
      <c r="Q47" s="78">
        <v>4</v>
      </c>
      <c r="R47" s="506">
        <v>4</v>
      </c>
      <c r="S47" s="119">
        <v>4</v>
      </c>
      <c r="T47" s="119">
        <v>4</v>
      </c>
      <c r="U47" s="119">
        <v>4</v>
      </c>
      <c r="V47" s="120">
        <v>4</v>
      </c>
    </row>
    <row r="48" spans="1:22" s="7" customFormat="1" ht="36">
      <c r="A48" s="784"/>
      <c r="B48" s="786" t="s">
        <v>119</v>
      </c>
      <c r="C48" s="786"/>
      <c r="D48" s="774" t="s">
        <v>120</v>
      </c>
      <c r="E48" s="774"/>
      <c r="F48" s="776" t="s">
        <v>92</v>
      </c>
      <c r="G48" s="774" t="s">
        <v>121</v>
      </c>
      <c r="H48" s="767">
        <v>130158</v>
      </c>
      <c r="I48" s="767">
        <v>149475.3</v>
      </c>
      <c r="J48" s="767">
        <v>153959.2</v>
      </c>
      <c r="K48" s="488"/>
      <c r="L48" s="767">
        <f>102833.9+73807.2</f>
        <v>176641.09999999998</v>
      </c>
      <c r="M48" s="767">
        <f>102833.9+73807.2</f>
        <v>176641.09999999998</v>
      </c>
      <c r="N48" s="767">
        <f>M48</f>
        <v>176641.09999999998</v>
      </c>
      <c r="O48" s="121" t="s">
        <v>122</v>
      </c>
      <c r="P48" s="122" t="s">
        <v>123</v>
      </c>
      <c r="Q48" s="121">
        <v>12.8</v>
      </c>
      <c r="R48" s="80">
        <v>13</v>
      </c>
      <c r="S48" s="80">
        <v>13</v>
      </c>
      <c r="T48" s="80">
        <v>13</v>
      </c>
      <c r="U48" s="80">
        <v>13</v>
      </c>
      <c r="V48" s="81">
        <v>13</v>
      </c>
    </row>
    <row r="49" spans="1:22" s="7" customFormat="1" ht="126">
      <c r="A49" s="790"/>
      <c r="B49" s="791"/>
      <c r="C49" s="791"/>
      <c r="D49" s="780"/>
      <c r="E49" s="780"/>
      <c r="F49" s="782"/>
      <c r="G49" s="780"/>
      <c r="H49" s="768"/>
      <c r="I49" s="768"/>
      <c r="J49" s="768"/>
      <c r="K49" s="489"/>
      <c r="L49" s="768"/>
      <c r="M49" s="768"/>
      <c r="N49" s="768"/>
      <c r="O49" s="78" t="s">
        <v>124</v>
      </c>
      <c r="P49" s="79" t="s">
        <v>38</v>
      </c>
      <c r="Q49" s="78">
        <v>85</v>
      </c>
      <c r="R49" s="80">
        <v>77.3</v>
      </c>
      <c r="S49" s="116">
        <v>85</v>
      </c>
      <c r="T49" s="116">
        <v>85</v>
      </c>
      <c r="U49" s="116">
        <v>85</v>
      </c>
      <c r="V49" s="117">
        <v>85</v>
      </c>
    </row>
    <row r="50" spans="1:22" s="7" customFormat="1" ht="54">
      <c r="A50" s="785"/>
      <c r="B50" s="787"/>
      <c r="C50" s="787"/>
      <c r="D50" s="781"/>
      <c r="E50" s="781"/>
      <c r="F50" s="783"/>
      <c r="G50" s="781"/>
      <c r="H50" s="769"/>
      <c r="I50" s="769"/>
      <c r="J50" s="768"/>
      <c r="K50" s="489"/>
      <c r="L50" s="768"/>
      <c r="M50" s="768"/>
      <c r="N50" s="768"/>
      <c r="O50" s="78" t="s">
        <v>125</v>
      </c>
      <c r="P50" s="79" t="s">
        <v>38</v>
      </c>
      <c r="Q50" s="78">
        <v>56</v>
      </c>
      <c r="R50" s="80">
        <v>58.3</v>
      </c>
      <c r="S50" s="116">
        <v>67</v>
      </c>
      <c r="T50" s="116">
        <v>75</v>
      </c>
      <c r="U50" s="116">
        <v>90</v>
      </c>
      <c r="V50" s="117">
        <v>90</v>
      </c>
    </row>
    <row r="51" spans="1:22" s="7" customFormat="1" ht="409.5">
      <c r="A51" s="46"/>
      <c r="B51" s="47" t="s">
        <v>126</v>
      </c>
      <c r="C51" s="47"/>
      <c r="D51" s="40" t="s">
        <v>127</v>
      </c>
      <c r="E51" s="41"/>
      <c r="F51" s="79" t="s">
        <v>92</v>
      </c>
      <c r="G51" s="40" t="s">
        <v>128</v>
      </c>
      <c r="H51" s="48">
        <v>0</v>
      </c>
      <c r="I51" s="48">
        <v>0</v>
      </c>
      <c r="J51" s="49">
        <v>3000</v>
      </c>
      <c r="K51" s="49"/>
      <c r="L51" s="49">
        <v>3000</v>
      </c>
      <c r="M51" s="49">
        <f>3000</f>
        <v>3000</v>
      </c>
      <c r="N51" s="49">
        <f>M51</f>
        <v>3000</v>
      </c>
      <c r="O51" s="78" t="s">
        <v>129</v>
      </c>
      <c r="P51" s="79" t="s">
        <v>130</v>
      </c>
      <c r="Q51" s="118" t="s">
        <v>131</v>
      </c>
      <c r="R51" s="118" t="s">
        <v>131</v>
      </c>
      <c r="S51" s="118" t="s">
        <v>131</v>
      </c>
      <c r="T51" s="118" t="s">
        <v>132</v>
      </c>
      <c r="U51" s="118" t="s">
        <v>133</v>
      </c>
      <c r="V51" s="123" t="s">
        <v>133</v>
      </c>
    </row>
    <row r="52" spans="1:22" s="7" customFormat="1" ht="162">
      <c r="A52" s="46"/>
      <c r="B52" s="47" t="s">
        <v>134</v>
      </c>
      <c r="C52" s="47"/>
      <c r="D52" s="40" t="s">
        <v>135</v>
      </c>
      <c r="E52" s="41"/>
      <c r="F52" s="79" t="s">
        <v>92</v>
      </c>
      <c r="G52" s="41" t="s">
        <v>136</v>
      </c>
      <c r="H52" s="42">
        <v>66488</v>
      </c>
      <c r="I52" s="42">
        <v>54740.9</v>
      </c>
      <c r="J52" s="42">
        <v>62914.8</v>
      </c>
      <c r="K52" s="488"/>
      <c r="L52" s="538">
        <f>58604.7+2863.1</f>
        <v>61467.799999999996</v>
      </c>
      <c r="M52" s="534">
        <f>58604.7+2863.1</f>
        <v>61467.799999999996</v>
      </c>
      <c r="N52" s="534">
        <f>M52</f>
        <v>61467.799999999996</v>
      </c>
      <c r="O52" s="78" t="s">
        <v>137</v>
      </c>
      <c r="P52" s="79" t="s">
        <v>95</v>
      </c>
      <c r="Q52" s="78">
        <v>8</v>
      </c>
      <c r="R52" s="118">
        <v>9</v>
      </c>
      <c r="S52" s="118">
        <v>10</v>
      </c>
      <c r="T52" s="118">
        <v>10</v>
      </c>
      <c r="U52" s="118">
        <v>11</v>
      </c>
      <c r="V52" s="123">
        <v>11</v>
      </c>
    </row>
    <row r="53" spans="1:22" s="7" customFormat="1" ht="126.75" thickBot="1">
      <c r="A53" s="51"/>
      <c r="B53" s="52" t="s">
        <v>138</v>
      </c>
      <c r="C53" s="52"/>
      <c r="D53" s="53" t="s">
        <v>139</v>
      </c>
      <c r="E53" s="54"/>
      <c r="F53" s="83" t="s">
        <v>92</v>
      </c>
      <c r="G53" s="54" t="s">
        <v>140</v>
      </c>
      <c r="H53" s="50">
        <v>16502.6</v>
      </c>
      <c r="I53" s="50">
        <v>17395.9</v>
      </c>
      <c r="J53" s="50">
        <v>17518.9</v>
      </c>
      <c r="K53" s="488"/>
      <c r="L53" s="538">
        <f>8109.7+9639.3</f>
        <v>17749</v>
      </c>
      <c r="M53" s="534">
        <f>8109.7+9639.3*1.06</f>
        <v>18327.358</v>
      </c>
      <c r="N53" s="534">
        <f>M53*1.06</f>
        <v>19426.999480000002</v>
      </c>
      <c r="O53" s="82" t="s">
        <v>141</v>
      </c>
      <c r="P53" s="83" t="s">
        <v>95</v>
      </c>
      <c r="Q53" s="82">
        <v>60</v>
      </c>
      <c r="R53" s="124">
        <v>65</v>
      </c>
      <c r="S53" s="125">
        <v>70</v>
      </c>
      <c r="T53" s="125">
        <v>75</v>
      </c>
      <c r="U53" s="125">
        <v>80</v>
      </c>
      <c r="V53" s="126">
        <v>80</v>
      </c>
    </row>
    <row r="54" spans="1:22" s="7" customFormat="1" ht="18">
      <c r="A54" s="55" t="s">
        <v>142</v>
      </c>
      <c r="B54" s="44"/>
      <c r="C54" s="44"/>
      <c r="D54" s="794" t="s">
        <v>143</v>
      </c>
      <c r="E54" s="56"/>
      <c r="F54" s="185"/>
      <c r="G54" s="56"/>
      <c r="H54" s="805">
        <f>SUM(H58:H81)</f>
        <v>1543717.1</v>
      </c>
      <c r="I54" s="805">
        <f>SUM(I58:I81)</f>
        <v>1712573</v>
      </c>
      <c r="J54" s="805">
        <f>SUM(J58:J81)</f>
        <v>1726570.7000000002</v>
      </c>
      <c r="K54" s="493"/>
      <c r="L54" s="805">
        <f>SUM(L58:L81)</f>
        <v>1710738.89</v>
      </c>
      <c r="M54" s="805">
        <f>M58+M63+M67+M69+M70+M73+M76+M79+M80+M81+M64+M72+M75+M78</f>
        <v>1723825.5799999998</v>
      </c>
      <c r="N54" s="805">
        <f>SUM(N58:N81)</f>
        <v>1731895.88</v>
      </c>
      <c r="O54" s="808" t="s">
        <v>144</v>
      </c>
      <c r="P54" s="810" t="s">
        <v>123</v>
      </c>
      <c r="Q54" s="810">
        <v>64.8</v>
      </c>
      <c r="R54" s="812">
        <v>65.6</v>
      </c>
      <c r="S54" s="801" t="s">
        <v>145</v>
      </c>
      <c r="T54" s="801" t="s">
        <v>145</v>
      </c>
      <c r="U54" s="801" t="s">
        <v>145</v>
      </c>
      <c r="V54" s="803" t="s">
        <v>145</v>
      </c>
    </row>
    <row r="55" spans="1:22" s="7" customFormat="1" ht="18">
      <c r="A55" s="57"/>
      <c r="B55" s="58"/>
      <c r="C55" s="58"/>
      <c r="D55" s="780"/>
      <c r="E55" s="59"/>
      <c r="F55" s="186"/>
      <c r="G55" s="59"/>
      <c r="H55" s="806"/>
      <c r="I55" s="806"/>
      <c r="J55" s="806"/>
      <c r="K55" s="494"/>
      <c r="L55" s="806"/>
      <c r="M55" s="806"/>
      <c r="N55" s="806"/>
      <c r="O55" s="809"/>
      <c r="P55" s="811"/>
      <c r="Q55" s="811"/>
      <c r="R55" s="813"/>
      <c r="S55" s="802"/>
      <c r="T55" s="802"/>
      <c r="U55" s="802"/>
      <c r="V55" s="804"/>
    </row>
    <row r="56" spans="1:22" s="7" customFormat="1" ht="54">
      <c r="A56" s="57"/>
      <c r="B56" s="58"/>
      <c r="C56" s="58"/>
      <c r="D56" s="780"/>
      <c r="E56" s="59"/>
      <c r="F56" s="186"/>
      <c r="G56" s="59"/>
      <c r="H56" s="806"/>
      <c r="I56" s="806"/>
      <c r="J56" s="806"/>
      <c r="K56" s="494"/>
      <c r="L56" s="806"/>
      <c r="M56" s="806"/>
      <c r="N56" s="806"/>
      <c r="O56" s="78" t="s">
        <v>146</v>
      </c>
      <c r="P56" s="79" t="s">
        <v>123</v>
      </c>
      <c r="Q56" s="78">
        <v>6.7</v>
      </c>
      <c r="R56" s="118">
        <v>6.8</v>
      </c>
      <c r="S56" s="119" t="s">
        <v>147</v>
      </c>
      <c r="T56" s="119" t="s">
        <v>147</v>
      </c>
      <c r="U56" s="119" t="s">
        <v>147</v>
      </c>
      <c r="V56" s="120" t="s">
        <v>147</v>
      </c>
    </row>
    <row r="57" spans="1:22" s="7" customFormat="1" ht="109.5" customHeight="1">
      <c r="A57" s="57"/>
      <c r="B57" s="58"/>
      <c r="C57" s="58"/>
      <c r="D57" s="781"/>
      <c r="E57" s="59"/>
      <c r="F57" s="186"/>
      <c r="G57" s="59"/>
      <c r="H57" s="807"/>
      <c r="I57" s="807"/>
      <c r="J57" s="807"/>
      <c r="K57" s="495"/>
      <c r="L57" s="807"/>
      <c r="M57" s="807"/>
      <c r="N57" s="807"/>
      <c r="O57" s="78" t="s">
        <v>148</v>
      </c>
      <c r="P57" s="79" t="s">
        <v>123</v>
      </c>
      <c r="Q57" s="78">
        <v>20.3</v>
      </c>
      <c r="R57" s="127">
        <v>27.9</v>
      </c>
      <c r="S57" s="119">
        <v>19.5</v>
      </c>
      <c r="T57" s="79">
        <v>19.1</v>
      </c>
      <c r="U57" s="79">
        <v>18.7</v>
      </c>
      <c r="V57" s="99">
        <v>18.7</v>
      </c>
    </row>
    <row r="58" spans="1:22" s="7" customFormat="1" ht="90">
      <c r="A58" s="51"/>
      <c r="B58" s="52" t="s">
        <v>90</v>
      </c>
      <c r="C58" s="52"/>
      <c r="D58" s="796" t="s">
        <v>149</v>
      </c>
      <c r="E58" s="774"/>
      <c r="F58" s="776" t="s">
        <v>73</v>
      </c>
      <c r="G58" s="774" t="s">
        <v>150</v>
      </c>
      <c r="H58" s="767">
        <f>3704.1+62178.7</f>
        <v>65882.8</v>
      </c>
      <c r="I58" s="767">
        <v>66131.5</v>
      </c>
      <c r="J58" s="767">
        <v>68471.7</v>
      </c>
      <c r="K58" s="488"/>
      <c r="L58" s="767">
        <f>58884.9+13050.2</f>
        <v>71935.1</v>
      </c>
      <c r="M58" s="767">
        <f>58884.9+13050.2</f>
        <v>71935.1</v>
      </c>
      <c r="N58" s="767">
        <f>M58</f>
        <v>71935.1</v>
      </c>
      <c r="O58" s="78" t="s">
        <v>151</v>
      </c>
      <c r="P58" s="79" t="s">
        <v>83</v>
      </c>
      <c r="Q58" s="79">
        <v>893</v>
      </c>
      <c r="R58" s="79">
        <v>897</v>
      </c>
      <c r="S58" s="79">
        <v>1000</v>
      </c>
      <c r="T58" s="79">
        <v>1000</v>
      </c>
      <c r="U58" s="79">
        <v>1000</v>
      </c>
      <c r="V58" s="99">
        <v>1000</v>
      </c>
    </row>
    <row r="59" spans="1:22" s="7" customFormat="1" ht="90">
      <c r="A59" s="60"/>
      <c r="B59" s="58"/>
      <c r="C59" s="58"/>
      <c r="D59" s="798"/>
      <c r="E59" s="780"/>
      <c r="F59" s="782"/>
      <c r="G59" s="780"/>
      <c r="H59" s="768"/>
      <c r="I59" s="768"/>
      <c r="J59" s="768"/>
      <c r="K59" s="489"/>
      <c r="L59" s="768"/>
      <c r="M59" s="768"/>
      <c r="N59" s="768"/>
      <c r="O59" s="78" t="s">
        <v>153</v>
      </c>
      <c r="P59" s="79" t="s">
        <v>60</v>
      </c>
      <c r="Q59" s="128">
        <v>81</v>
      </c>
      <c r="R59" s="79">
        <v>82</v>
      </c>
      <c r="S59" s="79">
        <v>83</v>
      </c>
      <c r="T59" s="79">
        <v>84</v>
      </c>
      <c r="U59" s="79">
        <v>85</v>
      </c>
      <c r="V59" s="99">
        <v>85</v>
      </c>
    </row>
    <row r="60" spans="1:22" s="7" customFormat="1" ht="252">
      <c r="A60" s="60"/>
      <c r="B60" s="58"/>
      <c r="C60" s="58"/>
      <c r="D60" s="798"/>
      <c r="E60" s="780"/>
      <c r="F60" s="782"/>
      <c r="G60" s="780"/>
      <c r="H60" s="768"/>
      <c r="I60" s="768"/>
      <c r="J60" s="768"/>
      <c r="K60" s="489"/>
      <c r="L60" s="768"/>
      <c r="M60" s="768"/>
      <c r="N60" s="768"/>
      <c r="O60" s="78" t="s">
        <v>154</v>
      </c>
      <c r="P60" s="79" t="s">
        <v>60</v>
      </c>
      <c r="Q60" s="79">
        <v>4.3</v>
      </c>
      <c r="R60" s="79" t="s">
        <v>155</v>
      </c>
      <c r="S60" s="79" t="s">
        <v>155</v>
      </c>
      <c r="T60" s="79" t="s">
        <v>155</v>
      </c>
      <c r="U60" s="79" t="s">
        <v>155</v>
      </c>
      <c r="V60" s="99" t="s">
        <v>155</v>
      </c>
    </row>
    <row r="61" spans="1:22" s="7" customFormat="1" ht="108">
      <c r="A61" s="60"/>
      <c r="B61" s="58"/>
      <c r="C61" s="58"/>
      <c r="D61" s="798"/>
      <c r="E61" s="780"/>
      <c r="F61" s="782"/>
      <c r="G61" s="780"/>
      <c r="H61" s="768"/>
      <c r="I61" s="768"/>
      <c r="J61" s="768"/>
      <c r="K61" s="489"/>
      <c r="L61" s="768"/>
      <c r="M61" s="768"/>
      <c r="N61" s="768"/>
      <c r="O61" s="78" t="s">
        <v>156</v>
      </c>
      <c r="P61" s="79" t="s">
        <v>51</v>
      </c>
      <c r="Q61" s="79">
        <v>32</v>
      </c>
      <c r="R61" s="79">
        <v>29</v>
      </c>
      <c r="S61" s="79">
        <v>30</v>
      </c>
      <c r="T61" s="79">
        <v>31</v>
      </c>
      <c r="U61" s="79">
        <v>32</v>
      </c>
      <c r="V61" s="99">
        <v>32</v>
      </c>
    </row>
    <row r="62" spans="1:22" s="7" customFormat="1" ht="96" customHeight="1" hidden="1">
      <c r="A62" s="46"/>
      <c r="B62" s="47"/>
      <c r="C62" s="47"/>
      <c r="D62" s="40"/>
      <c r="E62" s="41"/>
      <c r="F62" s="83"/>
      <c r="G62" s="41"/>
      <c r="H62" s="42"/>
      <c r="I62" s="42"/>
      <c r="J62" s="42"/>
      <c r="K62" s="486"/>
      <c r="L62" s="536"/>
      <c r="M62" s="532"/>
      <c r="N62" s="532"/>
      <c r="O62" s="78"/>
      <c r="P62" s="79"/>
      <c r="Q62" s="129"/>
      <c r="R62" s="130"/>
      <c r="S62" s="130"/>
      <c r="T62" s="130"/>
      <c r="U62" s="130"/>
      <c r="V62" s="131"/>
    </row>
    <row r="63" spans="1:22" s="7" customFormat="1" ht="69.75" customHeight="1">
      <c r="A63" s="51"/>
      <c r="B63" s="52" t="s">
        <v>102</v>
      </c>
      <c r="C63" s="52"/>
      <c r="D63" s="53" t="s">
        <v>157</v>
      </c>
      <c r="E63" s="54"/>
      <c r="F63" s="83" t="s">
        <v>73</v>
      </c>
      <c r="G63" s="54" t="s">
        <v>158</v>
      </c>
      <c r="H63" s="50">
        <v>10188.4</v>
      </c>
      <c r="I63" s="50">
        <v>10073</v>
      </c>
      <c r="J63" s="50">
        <v>9962.7</v>
      </c>
      <c r="K63" s="488"/>
      <c r="L63" s="538">
        <f>10257</f>
        <v>10257</v>
      </c>
      <c r="M63" s="534">
        <f>10257</f>
        <v>10257</v>
      </c>
      <c r="N63" s="534">
        <f>M63</f>
        <v>10257</v>
      </c>
      <c r="O63" s="78" t="s">
        <v>230</v>
      </c>
      <c r="P63" s="79" t="s">
        <v>106</v>
      </c>
      <c r="Q63" s="132">
        <v>0.355</v>
      </c>
      <c r="R63" s="133">
        <v>0.2</v>
      </c>
      <c r="S63" s="133">
        <v>0.2</v>
      </c>
      <c r="T63" s="133">
        <v>0.2</v>
      </c>
      <c r="U63" s="133">
        <v>0.2</v>
      </c>
      <c r="V63" s="134">
        <v>0.2</v>
      </c>
    </row>
    <row r="64" spans="1:22" s="7" customFormat="1" ht="36">
      <c r="A64" s="51"/>
      <c r="B64" s="52" t="s">
        <v>111</v>
      </c>
      <c r="C64" s="52"/>
      <c r="D64" s="796" t="s">
        <v>231</v>
      </c>
      <c r="E64" s="54"/>
      <c r="F64" s="83" t="s">
        <v>73</v>
      </c>
      <c r="G64" s="774" t="s">
        <v>159</v>
      </c>
      <c r="H64" s="767">
        <v>4700</v>
      </c>
      <c r="I64" s="767">
        <v>12100</v>
      </c>
      <c r="J64" s="767">
        <v>9000</v>
      </c>
      <c r="K64" s="488"/>
      <c r="L64" s="767">
        <v>9000</v>
      </c>
      <c r="M64" s="767">
        <f>9000</f>
        <v>9000</v>
      </c>
      <c r="N64" s="767">
        <f>M64</f>
        <v>9000</v>
      </c>
      <c r="O64" s="121" t="s">
        <v>160</v>
      </c>
      <c r="P64" s="122" t="s">
        <v>161</v>
      </c>
      <c r="Q64" s="135">
        <v>90.6</v>
      </c>
      <c r="R64" s="149">
        <v>83.4</v>
      </c>
      <c r="S64" s="519">
        <v>82.5</v>
      </c>
      <c r="T64" s="520">
        <v>80.5</v>
      </c>
      <c r="U64" s="520">
        <v>75.5</v>
      </c>
      <c r="V64" s="521">
        <v>75.5</v>
      </c>
    </row>
    <row r="65" spans="1:22" s="7" customFormat="1" ht="44.25" customHeight="1">
      <c r="A65" s="61"/>
      <c r="B65" s="45"/>
      <c r="C65" s="45"/>
      <c r="D65" s="797"/>
      <c r="E65" s="36"/>
      <c r="F65" s="96"/>
      <c r="G65" s="781"/>
      <c r="H65" s="769"/>
      <c r="I65" s="769"/>
      <c r="J65" s="769"/>
      <c r="K65" s="490"/>
      <c r="L65" s="769"/>
      <c r="M65" s="769"/>
      <c r="N65" s="769"/>
      <c r="O65" s="121" t="s">
        <v>162</v>
      </c>
      <c r="P65" s="122" t="s">
        <v>163</v>
      </c>
      <c r="Q65" s="135">
        <v>249000</v>
      </c>
      <c r="R65" s="139">
        <v>235000</v>
      </c>
      <c r="S65" s="136">
        <v>167000</v>
      </c>
      <c r="T65" s="137">
        <v>306000</v>
      </c>
      <c r="U65" s="137">
        <v>313000</v>
      </c>
      <c r="V65" s="138">
        <v>314000</v>
      </c>
    </row>
    <row r="66" spans="1:22" s="7" customFormat="1" ht="17.25" customHeight="1" hidden="1">
      <c r="A66" s="46"/>
      <c r="B66" s="47"/>
      <c r="C66" s="47"/>
      <c r="D66" s="40"/>
      <c r="E66" s="41"/>
      <c r="F66" s="79"/>
      <c r="G66" s="41"/>
      <c r="H66" s="42"/>
      <c r="I66" s="42"/>
      <c r="J66" s="42"/>
      <c r="K66" s="486"/>
      <c r="L66" s="536"/>
      <c r="M66" s="532"/>
      <c r="N66" s="532"/>
      <c r="O66" s="121"/>
      <c r="P66" s="122"/>
      <c r="Q66" s="122"/>
      <c r="R66" s="140"/>
      <c r="S66" s="141"/>
      <c r="T66" s="142"/>
      <c r="U66" s="142"/>
      <c r="V66" s="143">
        <v>34</v>
      </c>
    </row>
    <row r="67" spans="1:22" s="7" customFormat="1" ht="105.75" customHeight="1">
      <c r="A67" s="784"/>
      <c r="B67" s="786" t="s">
        <v>119</v>
      </c>
      <c r="C67" s="786"/>
      <c r="D67" s="799" t="s">
        <v>164</v>
      </c>
      <c r="E67" s="774" t="s">
        <v>165</v>
      </c>
      <c r="F67" s="776" t="s">
        <v>166</v>
      </c>
      <c r="G67" s="774" t="s">
        <v>167</v>
      </c>
      <c r="H67" s="767">
        <v>0</v>
      </c>
      <c r="I67" s="767">
        <v>112740.2</v>
      </c>
      <c r="J67" s="767">
        <v>120000</v>
      </c>
      <c r="K67" s="488"/>
      <c r="L67" s="767">
        <v>145402.3</v>
      </c>
      <c r="M67" s="767">
        <f>145402.3</f>
        <v>145402.3</v>
      </c>
      <c r="N67" s="767">
        <f>M67</f>
        <v>145402.3</v>
      </c>
      <c r="O67" s="121" t="s">
        <v>507</v>
      </c>
      <c r="P67" s="122" t="s">
        <v>60</v>
      </c>
      <c r="Q67" s="144">
        <v>0</v>
      </c>
      <c r="R67" s="145">
        <v>0.1</v>
      </c>
      <c r="S67" s="146">
        <v>0.1</v>
      </c>
      <c r="T67" s="147">
        <v>0.1</v>
      </c>
      <c r="U67" s="147">
        <v>0.1</v>
      </c>
      <c r="V67" s="148">
        <v>0.1</v>
      </c>
    </row>
    <row r="68" spans="1:22" s="7" customFormat="1" ht="54">
      <c r="A68" s="785"/>
      <c r="B68" s="787"/>
      <c r="C68" s="787"/>
      <c r="D68" s="800"/>
      <c r="E68" s="781"/>
      <c r="F68" s="783"/>
      <c r="G68" s="781"/>
      <c r="H68" s="769"/>
      <c r="I68" s="769"/>
      <c r="J68" s="769"/>
      <c r="K68" s="490"/>
      <c r="L68" s="769"/>
      <c r="M68" s="769"/>
      <c r="N68" s="769"/>
      <c r="O68" s="121" t="s">
        <v>168</v>
      </c>
      <c r="P68" s="122" t="s">
        <v>83</v>
      </c>
      <c r="Q68" s="135">
        <v>99</v>
      </c>
      <c r="R68" s="149">
        <v>309</v>
      </c>
      <c r="S68" s="146" t="s">
        <v>88</v>
      </c>
      <c r="T68" s="147" t="s">
        <v>88</v>
      </c>
      <c r="U68" s="147" t="s">
        <v>88</v>
      </c>
      <c r="V68" s="148" t="s">
        <v>88</v>
      </c>
    </row>
    <row r="69" spans="1:22" s="7" customFormat="1" ht="54">
      <c r="A69" s="46"/>
      <c r="B69" s="47" t="s">
        <v>126</v>
      </c>
      <c r="C69" s="47"/>
      <c r="D69" s="43" t="s">
        <v>169</v>
      </c>
      <c r="E69" s="41"/>
      <c r="F69" s="79" t="s">
        <v>170</v>
      </c>
      <c r="G69" s="41" t="s">
        <v>171</v>
      </c>
      <c r="H69" s="42">
        <v>105626.8</v>
      </c>
      <c r="I69" s="42">
        <v>113667.2</v>
      </c>
      <c r="J69" s="42">
        <v>109333</v>
      </c>
      <c r="K69" s="486"/>
      <c r="L69" s="536">
        <f>64835+44078.29</f>
        <v>108913.29000000001</v>
      </c>
      <c r="M69" s="532">
        <f>64835+44078.29</f>
        <v>108913.29000000001</v>
      </c>
      <c r="N69" s="532">
        <f>M69</f>
        <v>108913.29000000001</v>
      </c>
      <c r="O69" s="121" t="s">
        <v>172</v>
      </c>
      <c r="P69" s="122" t="s">
        <v>173</v>
      </c>
      <c r="Q69" s="150">
        <v>20000</v>
      </c>
      <c r="R69" s="150">
        <v>21000</v>
      </c>
      <c r="S69" s="151">
        <v>22000</v>
      </c>
      <c r="T69" s="152">
        <v>23000</v>
      </c>
      <c r="U69" s="152">
        <v>24000</v>
      </c>
      <c r="V69" s="153">
        <v>24000</v>
      </c>
    </row>
    <row r="70" spans="1:22" s="7" customFormat="1" ht="114.75" customHeight="1">
      <c r="A70" s="784"/>
      <c r="B70" s="786" t="s">
        <v>134</v>
      </c>
      <c r="C70" s="786"/>
      <c r="D70" s="796" t="s">
        <v>175</v>
      </c>
      <c r="E70" s="774" t="s">
        <v>165</v>
      </c>
      <c r="F70" s="776" t="s">
        <v>73</v>
      </c>
      <c r="G70" s="774" t="s">
        <v>176</v>
      </c>
      <c r="H70" s="767">
        <f>65334.9+17900</f>
        <v>83234.9</v>
      </c>
      <c r="I70" s="767">
        <v>101713.1</v>
      </c>
      <c r="J70" s="767">
        <v>71188.5</v>
      </c>
      <c r="K70" s="488"/>
      <c r="L70" s="767">
        <f>93442.8+29902.3</f>
        <v>123345.1</v>
      </c>
      <c r="M70" s="767">
        <f>93442.8+29902.3</f>
        <v>123345.1</v>
      </c>
      <c r="N70" s="767">
        <f>M70</f>
        <v>123345.1</v>
      </c>
      <c r="O70" s="78" t="s">
        <v>234</v>
      </c>
      <c r="P70" s="79" t="s">
        <v>60</v>
      </c>
      <c r="Q70" s="128"/>
      <c r="R70" s="129">
        <v>0.03</v>
      </c>
      <c r="S70" s="129">
        <v>0.03</v>
      </c>
      <c r="T70" s="129">
        <v>0.05</v>
      </c>
      <c r="U70" s="129">
        <v>0.07</v>
      </c>
      <c r="V70" s="154">
        <v>0.09</v>
      </c>
    </row>
    <row r="71" spans="1:22" s="7" customFormat="1" ht="210.75" customHeight="1">
      <c r="A71" s="785"/>
      <c r="B71" s="787"/>
      <c r="C71" s="787"/>
      <c r="D71" s="798"/>
      <c r="E71" s="781"/>
      <c r="F71" s="783"/>
      <c r="G71" s="781"/>
      <c r="H71" s="768"/>
      <c r="I71" s="768"/>
      <c r="J71" s="768"/>
      <c r="K71" s="489"/>
      <c r="L71" s="768"/>
      <c r="M71" s="768"/>
      <c r="N71" s="768"/>
      <c r="O71" s="78" t="s">
        <v>235</v>
      </c>
      <c r="P71" s="79" t="s">
        <v>60</v>
      </c>
      <c r="Q71" s="128"/>
      <c r="R71" s="129">
        <v>0.16</v>
      </c>
      <c r="S71" s="129">
        <v>0.22</v>
      </c>
      <c r="T71" s="129">
        <v>0.29</v>
      </c>
      <c r="U71" s="129">
        <v>0.36</v>
      </c>
      <c r="V71" s="154">
        <v>0.39</v>
      </c>
    </row>
    <row r="72" spans="1:22" s="7" customFormat="1" ht="90">
      <c r="A72" s="46"/>
      <c r="B72" s="47" t="s">
        <v>138</v>
      </c>
      <c r="C72" s="47"/>
      <c r="D72" s="62" t="s">
        <v>178</v>
      </c>
      <c r="E72" s="41" t="s">
        <v>165</v>
      </c>
      <c r="F72" s="79" t="s">
        <v>73</v>
      </c>
      <c r="G72" s="41" t="s">
        <v>179</v>
      </c>
      <c r="H72" s="42">
        <f>133558.1+38952.5+44980.6</f>
        <v>217491.2</v>
      </c>
      <c r="I72" s="42">
        <v>274237.8</v>
      </c>
      <c r="J72" s="42">
        <v>302237.5</v>
      </c>
      <c r="K72" s="486"/>
      <c r="L72" s="536">
        <f>140575.7+133633.8</f>
        <v>274209.5</v>
      </c>
      <c r="M72" s="532">
        <f>140575.7+133633.8*1.05</f>
        <v>280891.19</v>
      </c>
      <c r="N72" s="532">
        <f>140575.7+133633.8*1.05</f>
        <v>280891.19</v>
      </c>
      <c r="O72" s="121" t="s">
        <v>180</v>
      </c>
      <c r="P72" s="122" t="s">
        <v>114</v>
      </c>
      <c r="Q72" s="150">
        <v>15500</v>
      </c>
      <c r="R72" s="150">
        <v>16500</v>
      </c>
      <c r="S72" s="151">
        <v>17650</v>
      </c>
      <c r="T72" s="152">
        <v>18500</v>
      </c>
      <c r="U72" s="152">
        <v>19500</v>
      </c>
      <c r="V72" s="153">
        <v>19500</v>
      </c>
    </row>
    <row r="73" spans="1:22" s="7" customFormat="1" ht="108">
      <c r="A73" s="784"/>
      <c r="B73" s="786" t="s">
        <v>174</v>
      </c>
      <c r="C73" s="786"/>
      <c r="D73" s="799" t="s">
        <v>182</v>
      </c>
      <c r="E73" s="774" t="s">
        <v>165</v>
      </c>
      <c r="F73" s="776" t="s">
        <v>73</v>
      </c>
      <c r="G73" s="774" t="s">
        <v>183</v>
      </c>
      <c r="H73" s="767">
        <f>700989.4+216106.5-128017.2</f>
        <v>789078.7000000001</v>
      </c>
      <c r="I73" s="767">
        <v>743599.2</v>
      </c>
      <c r="J73" s="767">
        <f>752707-29517.2</f>
        <v>723189.8</v>
      </c>
      <c r="K73" s="488"/>
      <c r="L73" s="767">
        <f>646397.2</f>
        <v>646397.2</v>
      </c>
      <c r="M73" s="767">
        <f>646397.2</f>
        <v>646397.2</v>
      </c>
      <c r="N73" s="767">
        <f>M73</f>
        <v>646397.2</v>
      </c>
      <c r="O73" s="121" t="s">
        <v>232</v>
      </c>
      <c r="P73" s="122" t="s">
        <v>114</v>
      </c>
      <c r="Q73" s="155">
        <v>1200</v>
      </c>
      <c r="R73" s="155">
        <v>1200</v>
      </c>
      <c r="S73" s="156">
        <v>1200</v>
      </c>
      <c r="T73" s="157">
        <v>1200</v>
      </c>
      <c r="U73" s="157">
        <v>1200</v>
      </c>
      <c r="V73" s="158">
        <v>1200</v>
      </c>
    </row>
    <row r="74" spans="1:22" s="7" customFormat="1" ht="180">
      <c r="A74" s="785"/>
      <c r="B74" s="787"/>
      <c r="C74" s="787"/>
      <c r="D74" s="800"/>
      <c r="E74" s="781"/>
      <c r="F74" s="783"/>
      <c r="G74" s="781"/>
      <c r="H74" s="769"/>
      <c r="I74" s="769"/>
      <c r="J74" s="769"/>
      <c r="K74" s="490"/>
      <c r="L74" s="769"/>
      <c r="M74" s="769"/>
      <c r="N74" s="769"/>
      <c r="O74" s="121" t="s">
        <v>184</v>
      </c>
      <c r="P74" s="122" t="s">
        <v>60</v>
      </c>
      <c r="Q74" s="159"/>
      <c r="R74" s="159">
        <v>0.95</v>
      </c>
      <c r="S74" s="160">
        <v>0.95</v>
      </c>
      <c r="T74" s="161">
        <v>0.95</v>
      </c>
      <c r="U74" s="161">
        <v>0.95</v>
      </c>
      <c r="V74" s="162">
        <v>0.95</v>
      </c>
    </row>
    <row r="75" spans="1:22" s="7" customFormat="1" ht="72">
      <c r="A75" s="46"/>
      <c r="B75" s="47" t="s">
        <v>177</v>
      </c>
      <c r="C75" s="47"/>
      <c r="D75" s="40" t="s">
        <v>186</v>
      </c>
      <c r="E75" s="41" t="s">
        <v>165</v>
      </c>
      <c r="F75" s="79" t="s">
        <v>73</v>
      </c>
      <c r="G75" s="41" t="s">
        <v>187</v>
      </c>
      <c r="H75" s="42">
        <v>106600</v>
      </c>
      <c r="I75" s="42">
        <v>104800</v>
      </c>
      <c r="J75" s="42">
        <v>122000</v>
      </c>
      <c r="K75" s="486"/>
      <c r="L75" s="536">
        <f>J75*1.05</f>
        <v>128100</v>
      </c>
      <c r="M75" s="532">
        <f>128100*1.05</f>
        <v>134505</v>
      </c>
      <c r="N75" s="532">
        <f>M75*1.06</f>
        <v>142575.30000000002</v>
      </c>
      <c r="O75" s="121" t="s">
        <v>188</v>
      </c>
      <c r="P75" s="122" t="s">
        <v>114</v>
      </c>
      <c r="Q75" s="163">
        <v>21139</v>
      </c>
      <c r="R75" s="150">
        <v>23828</v>
      </c>
      <c r="S75" s="151">
        <v>25000</v>
      </c>
      <c r="T75" s="152">
        <v>26000</v>
      </c>
      <c r="U75" s="152">
        <v>27000</v>
      </c>
      <c r="V75" s="153">
        <v>28000</v>
      </c>
    </row>
    <row r="76" spans="1:22" s="7" customFormat="1" ht="108">
      <c r="A76" s="784"/>
      <c r="B76" s="786" t="s">
        <v>181</v>
      </c>
      <c r="C76" s="786"/>
      <c r="D76" s="796" t="s">
        <v>190</v>
      </c>
      <c r="E76" s="774" t="s">
        <v>165</v>
      </c>
      <c r="F76" s="776" t="s">
        <v>191</v>
      </c>
      <c r="G76" s="774"/>
      <c r="H76" s="767">
        <f>72679.5+21000</f>
        <v>93679.5</v>
      </c>
      <c r="I76" s="767">
        <v>81811</v>
      </c>
      <c r="J76" s="767">
        <v>88987.5</v>
      </c>
      <c r="K76" s="488"/>
      <c r="L76" s="767">
        <f>83558.8+7420.6</f>
        <v>90979.40000000001</v>
      </c>
      <c r="M76" s="767">
        <f>83558.8+7420.6</f>
        <v>90979.40000000001</v>
      </c>
      <c r="N76" s="767">
        <f>M76</f>
        <v>90979.40000000001</v>
      </c>
      <c r="O76" s="121" t="s">
        <v>192</v>
      </c>
      <c r="P76" s="122" t="s">
        <v>114</v>
      </c>
      <c r="Q76" s="163">
        <v>16700</v>
      </c>
      <c r="R76" s="150">
        <v>17200</v>
      </c>
      <c r="S76" s="151">
        <v>17700</v>
      </c>
      <c r="T76" s="152">
        <v>18200</v>
      </c>
      <c r="U76" s="152">
        <v>18700</v>
      </c>
      <c r="V76" s="153">
        <v>18700</v>
      </c>
    </row>
    <row r="77" spans="1:22" s="7" customFormat="1" ht="126">
      <c r="A77" s="785"/>
      <c r="B77" s="787"/>
      <c r="C77" s="787"/>
      <c r="D77" s="797"/>
      <c r="E77" s="781"/>
      <c r="F77" s="783"/>
      <c r="G77" s="781"/>
      <c r="H77" s="769"/>
      <c r="I77" s="769"/>
      <c r="J77" s="769"/>
      <c r="K77" s="490"/>
      <c r="L77" s="769"/>
      <c r="M77" s="769"/>
      <c r="N77" s="769"/>
      <c r="O77" s="121" t="s">
        <v>193</v>
      </c>
      <c r="P77" s="122" t="s">
        <v>106</v>
      </c>
      <c r="Q77" s="164">
        <v>95</v>
      </c>
      <c r="R77" s="155">
        <v>95</v>
      </c>
      <c r="S77" s="156">
        <v>95</v>
      </c>
      <c r="T77" s="157">
        <v>95</v>
      </c>
      <c r="U77" s="157">
        <v>95</v>
      </c>
      <c r="V77" s="158">
        <v>95</v>
      </c>
    </row>
    <row r="78" spans="1:22" s="7" customFormat="1" ht="72">
      <c r="A78" s="46"/>
      <c r="B78" s="47" t="s">
        <v>185</v>
      </c>
      <c r="C78" s="47"/>
      <c r="D78" s="40" t="s">
        <v>195</v>
      </c>
      <c r="E78" s="41" t="s">
        <v>165</v>
      </c>
      <c r="F78" s="79" t="s">
        <v>73</v>
      </c>
      <c r="G78" s="41" t="s">
        <v>187</v>
      </c>
      <c r="H78" s="42">
        <v>26500</v>
      </c>
      <c r="I78" s="42">
        <v>25600</v>
      </c>
      <c r="J78" s="42">
        <v>30000</v>
      </c>
      <c r="K78" s="486"/>
      <c r="L78" s="536">
        <v>30000</v>
      </c>
      <c r="M78" s="532">
        <f>30000</f>
        <v>30000</v>
      </c>
      <c r="N78" s="532">
        <f>M78</f>
        <v>30000</v>
      </c>
      <c r="O78" s="121" t="s">
        <v>196</v>
      </c>
      <c r="P78" s="122" t="s">
        <v>106</v>
      </c>
      <c r="Q78" s="165">
        <v>0.1</v>
      </c>
      <c r="R78" s="166">
        <v>0.1</v>
      </c>
      <c r="S78" s="166">
        <v>0.2</v>
      </c>
      <c r="T78" s="166">
        <v>0.3</v>
      </c>
      <c r="U78" s="166">
        <v>0.4</v>
      </c>
      <c r="V78" s="166">
        <v>0.4</v>
      </c>
    </row>
    <row r="79" spans="1:22" s="7" customFormat="1" ht="108">
      <c r="A79" s="63"/>
      <c r="B79" s="64" t="s">
        <v>189</v>
      </c>
      <c r="C79" s="64"/>
      <c r="D79" s="774" t="s">
        <v>197</v>
      </c>
      <c r="E79" s="53" t="s">
        <v>165</v>
      </c>
      <c r="F79" s="82" t="s">
        <v>73</v>
      </c>
      <c r="G79" s="53" t="s">
        <v>198</v>
      </c>
      <c r="H79" s="50">
        <v>0</v>
      </c>
      <c r="I79" s="65">
        <v>0</v>
      </c>
      <c r="J79" s="65">
        <v>0</v>
      </c>
      <c r="K79" s="65"/>
      <c r="L79" s="65">
        <v>0</v>
      </c>
      <c r="M79" s="65">
        <v>0</v>
      </c>
      <c r="N79" s="65">
        <v>0</v>
      </c>
      <c r="O79" s="121" t="s">
        <v>199</v>
      </c>
      <c r="P79" s="122" t="s">
        <v>106</v>
      </c>
      <c r="Q79" s="166">
        <v>0</v>
      </c>
      <c r="R79" s="166">
        <v>0</v>
      </c>
      <c r="S79" s="167">
        <v>0.1</v>
      </c>
      <c r="T79" s="168">
        <v>0.2</v>
      </c>
      <c r="U79" s="168">
        <v>0.3</v>
      </c>
      <c r="V79" s="169">
        <v>0.3</v>
      </c>
    </row>
    <row r="80" spans="1:22" s="7" customFormat="1" ht="90">
      <c r="A80" s="46"/>
      <c r="B80" s="47"/>
      <c r="C80" s="47"/>
      <c r="D80" s="781"/>
      <c r="E80" s="41" t="s">
        <v>165</v>
      </c>
      <c r="F80" s="79" t="s">
        <v>73</v>
      </c>
      <c r="G80" s="41" t="s">
        <v>198</v>
      </c>
      <c r="H80" s="42">
        <f>10774.4+1846.7+2913.7</f>
        <v>15534.8</v>
      </c>
      <c r="I80" s="42">
        <v>3000</v>
      </c>
      <c r="J80" s="42">
        <v>4300</v>
      </c>
      <c r="K80" s="486"/>
      <c r="L80" s="536">
        <v>4300</v>
      </c>
      <c r="M80" s="532">
        <f>4300</f>
        <v>4300</v>
      </c>
      <c r="N80" s="532">
        <f>M80</f>
        <v>4300</v>
      </c>
      <c r="O80" s="121" t="s">
        <v>201</v>
      </c>
      <c r="P80" s="122" t="s">
        <v>106</v>
      </c>
      <c r="Q80" s="166">
        <v>0.1</v>
      </c>
      <c r="R80" s="144">
        <v>0.2</v>
      </c>
      <c r="S80" s="167">
        <v>0.3</v>
      </c>
      <c r="T80" s="168">
        <v>0.3</v>
      </c>
      <c r="U80" s="168">
        <v>0.3</v>
      </c>
      <c r="V80" s="169">
        <v>0.3</v>
      </c>
    </row>
    <row r="81" spans="1:22" s="7" customFormat="1" ht="90.75" thickBot="1">
      <c r="A81" s="66"/>
      <c r="B81" s="67" t="s">
        <v>194</v>
      </c>
      <c r="C81" s="67"/>
      <c r="D81" s="68" t="s">
        <v>202</v>
      </c>
      <c r="E81" s="69" t="s">
        <v>165</v>
      </c>
      <c r="F81" s="109" t="s">
        <v>73</v>
      </c>
      <c r="G81" s="69" t="s">
        <v>203</v>
      </c>
      <c r="H81" s="70">
        <v>25200</v>
      </c>
      <c r="I81" s="70">
        <v>63100</v>
      </c>
      <c r="J81" s="70">
        <v>67900</v>
      </c>
      <c r="K81" s="487"/>
      <c r="L81" s="537">
        <v>67900</v>
      </c>
      <c r="M81" s="533">
        <f>67900</f>
        <v>67900</v>
      </c>
      <c r="N81" s="533">
        <f>M81</f>
        <v>67900</v>
      </c>
      <c r="O81" s="121" t="s">
        <v>204</v>
      </c>
      <c r="P81" s="122" t="s">
        <v>106</v>
      </c>
      <c r="Q81" s="166">
        <v>0.3</v>
      </c>
      <c r="R81" s="159">
        <v>0.9</v>
      </c>
      <c r="S81" s="170">
        <v>0.95</v>
      </c>
      <c r="T81" s="171">
        <v>1</v>
      </c>
      <c r="U81" s="171">
        <v>1</v>
      </c>
      <c r="V81" s="172">
        <v>1</v>
      </c>
    </row>
    <row r="82" spans="1:22" s="7" customFormat="1" ht="72">
      <c r="A82" s="55" t="s">
        <v>205</v>
      </c>
      <c r="B82" s="44"/>
      <c r="C82" s="44"/>
      <c r="D82" s="792" t="s">
        <v>206</v>
      </c>
      <c r="E82" s="794"/>
      <c r="F82" s="795"/>
      <c r="G82" s="794"/>
      <c r="H82" s="788">
        <f>SUM(H84:H93)</f>
        <v>789866.3</v>
      </c>
      <c r="I82" s="788">
        <f>SUM(I84:I93)</f>
        <v>925833.9</v>
      </c>
      <c r="J82" s="788">
        <f>SUM(J84:J93)</f>
        <v>1012661.5</v>
      </c>
      <c r="K82" s="491"/>
      <c r="L82" s="788">
        <f>SUM(L84:L93)</f>
        <v>1212094.8</v>
      </c>
      <c r="M82" s="788">
        <f>SUM(M84:M93)</f>
        <v>1193404.4</v>
      </c>
      <c r="N82" s="788">
        <f>SUM(N84:N93)</f>
        <v>1187188.2</v>
      </c>
      <c r="O82" s="121" t="s">
        <v>207</v>
      </c>
      <c r="P82" s="122" t="s">
        <v>208</v>
      </c>
      <c r="Q82" s="173"/>
      <c r="R82" s="174"/>
      <c r="S82" s="175">
        <v>2</v>
      </c>
      <c r="T82" s="176">
        <v>2</v>
      </c>
      <c r="U82" s="176">
        <v>2</v>
      </c>
      <c r="V82" s="177">
        <v>2</v>
      </c>
    </row>
    <row r="83" spans="1:22" s="7" customFormat="1" ht="103.5" customHeight="1">
      <c r="A83" s="71"/>
      <c r="B83" s="45"/>
      <c r="C83" s="45"/>
      <c r="D83" s="793"/>
      <c r="E83" s="781"/>
      <c r="F83" s="783"/>
      <c r="G83" s="781"/>
      <c r="H83" s="789"/>
      <c r="I83" s="789"/>
      <c r="J83" s="789"/>
      <c r="K83" s="492"/>
      <c r="L83" s="789"/>
      <c r="M83" s="789"/>
      <c r="N83" s="789"/>
      <c r="O83" s="121" t="s">
        <v>209</v>
      </c>
      <c r="P83" s="122" t="s">
        <v>60</v>
      </c>
      <c r="Q83" s="122" t="s">
        <v>210</v>
      </c>
      <c r="R83" s="140"/>
      <c r="S83" s="141">
        <v>20</v>
      </c>
      <c r="T83" s="142">
        <v>50</v>
      </c>
      <c r="U83" s="142">
        <v>100</v>
      </c>
      <c r="V83" s="143">
        <v>100</v>
      </c>
    </row>
    <row r="84" spans="1:22" s="7" customFormat="1" ht="72">
      <c r="A84" s="784"/>
      <c r="B84" s="786" t="s">
        <v>90</v>
      </c>
      <c r="C84" s="786"/>
      <c r="D84" s="772" t="s">
        <v>211</v>
      </c>
      <c r="E84" s="774" t="s">
        <v>165</v>
      </c>
      <c r="F84" s="776"/>
      <c r="G84" s="774" t="s">
        <v>48</v>
      </c>
      <c r="H84" s="767">
        <f>16731+2885.8</f>
        <v>19616.8</v>
      </c>
      <c r="I84" s="767">
        <v>18196.1</v>
      </c>
      <c r="J84" s="767">
        <v>29517.2</v>
      </c>
      <c r="K84" s="488"/>
      <c r="L84" s="767">
        <f>27192.7</f>
        <v>27192.7</v>
      </c>
      <c r="M84" s="767">
        <f>27192.7</f>
        <v>27192.7</v>
      </c>
      <c r="N84" s="767">
        <f>M84</f>
        <v>27192.7</v>
      </c>
      <c r="O84" s="121" t="s">
        <v>212</v>
      </c>
      <c r="P84" s="122" t="s">
        <v>213</v>
      </c>
      <c r="Q84" s="122">
        <v>12.9</v>
      </c>
      <c r="R84" s="140">
        <v>14.8</v>
      </c>
      <c r="S84" s="141">
        <v>13</v>
      </c>
      <c r="T84" s="142">
        <v>14</v>
      </c>
      <c r="U84" s="142">
        <v>14</v>
      </c>
      <c r="V84" s="143">
        <v>14</v>
      </c>
    </row>
    <row r="85" spans="1:22" s="7" customFormat="1" ht="90">
      <c r="A85" s="790"/>
      <c r="B85" s="791"/>
      <c r="C85" s="791"/>
      <c r="D85" s="772"/>
      <c r="E85" s="780"/>
      <c r="F85" s="782"/>
      <c r="G85" s="780"/>
      <c r="H85" s="768"/>
      <c r="I85" s="768"/>
      <c r="J85" s="768"/>
      <c r="K85" s="489"/>
      <c r="L85" s="768"/>
      <c r="M85" s="768"/>
      <c r="N85" s="768"/>
      <c r="O85" s="121" t="s">
        <v>214</v>
      </c>
      <c r="P85" s="122" t="s">
        <v>213</v>
      </c>
      <c r="Q85" s="122">
        <v>2.5</v>
      </c>
      <c r="R85" s="122">
        <v>3219</v>
      </c>
      <c r="S85" s="178" t="s">
        <v>155</v>
      </c>
      <c r="T85" s="86" t="s">
        <v>155</v>
      </c>
      <c r="U85" s="86" t="s">
        <v>155</v>
      </c>
      <c r="V85" s="87" t="s">
        <v>155</v>
      </c>
    </row>
    <row r="86" spans="1:22" s="7" customFormat="1" ht="162">
      <c r="A86" s="785"/>
      <c r="B86" s="787"/>
      <c r="C86" s="787"/>
      <c r="D86" s="772"/>
      <c r="E86" s="781"/>
      <c r="F86" s="783"/>
      <c r="G86" s="781"/>
      <c r="H86" s="769"/>
      <c r="I86" s="769"/>
      <c r="J86" s="769"/>
      <c r="K86" s="490"/>
      <c r="L86" s="769"/>
      <c r="M86" s="769"/>
      <c r="N86" s="769"/>
      <c r="O86" s="121" t="s">
        <v>215</v>
      </c>
      <c r="P86" s="122" t="s">
        <v>114</v>
      </c>
      <c r="Q86" s="121">
        <v>150</v>
      </c>
      <c r="R86" s="122">
        <v>150</v>
      </c>
      <c r="S86" s="179">
        <v>150</v>
      </c>
      <c r="T86" s="180">
        <v>175</v>
      </c>
      <c r="U86" s="180">
        <v>175</v>
      </c>
      <c r="V86" s="181">
        <v>175</v>
      </c>
    </row>
    <row r="87" spans="1:22" s="7" customFormat="1" ht="108">
      <c r="A87" s="784"/>
      <c r="B87" s="786" t="s">
        <v>102</v>
      </c>
      <c r="C87" s="786"/>
      <c r="D87" s="774" t="s">
        <v>216</v>
      </c>
      <c r="E87" s="774" t="s">
        <v>165</v>
      </c>
      <c r="F87" s="776"/>
      <c r="G87" s="774" t="s">
        <v>217</v>
      </c>
      <c r="H87" s="48">
        <v>445982.9</v>
      </c>
      <c r="I87" s="767">
        <v>554094.8</v>
      </c>
      <c r="J87" s="767">
        <v>627246.3</v>
      </c>
      <c r="K87" s="488"/>
      <c r="L87" s="767">
        <f>87886.3+720170</f>
        <v>808056.3</v>
      </c>
      <c r="M87" s="767">
        <f>87886.3+720170-18690.4</f>
        <v>789365.9</v>
      </c>
      <c r="N87" s="767">
        <f>M87-10981.3+4765.1</f>
        <v>783149.7</v>
      </c>
      <c r="O87" s="121" t="s">
        <v>218</v>
      </c>
      <c r="P87" s="122" t="s">
        <v>114</v>
      </c>
      <c r="Q87" s="121">
        <f>200</f>
        <v>200</v>
      </c>
      <c r="R87" s="122">
        <v>248</v>
      </c>
      <c r="S87" s="179">
        <v>252</v>
      </c>
      <c r="T87" s="180">
        <v>277</v>
      </c>
      <c r="U87" s="180">
        <v>378</v>
      </c>
      <c r="V87" s="181">
        <v>378</v>
      </c>
    </row>
    <row r="88" spans="1:22" s="7" customFormat="1" ht="126">
      <c r="A88" s="785"/>
      <c r="B88" s="787"/>
      <c r="C88" s="787"/>
      <c r="D88" s="781"/>
      <c r="E88" s="781"/>
      <c r="F88" s="783"/>
      <c r="G88" s="781"/>
      <c r="H88" s="48"/>
      <c r="I88" s="769"/>
      <c r="J88" s="769"/>
      <c r="K88" s="490"/>
      <c r="L88" s="769"/>
      <c r="M88" s="769"/>
      <c r="N88" s="769"/>
      <c r="O88" s="121" t="s">
        <v>233</v>
      </c>
      <c r="P88" s="122" t="s">
        <v>114</v>
      </c>
      <c r="Q88" s="121">
        <v>150</v>
      </c>
      <c r="R88" s="150">
        <v>177</v>
      </c>
      <c r="S88" s="179">
        <v>298</v>
      </c>
      <c r="T88" s="180">
        <v>305</v>
      </c>
      <c r="U88" s="180">
        <v>367</v>
      </c>
      <c r="V88" s="181">
        <v>367</v>
      </c>
    </row>
    <row r="89" spans="1:22" s="7" customFormat="1" ht="108">
      <c r="A89" s="46"/>
      <c r="B89" s="47" t="s">
        <v>111</v>
      </c>
      <c r="C89" s="47"/>
      <c r="D89" s="772" t="s">
        <v>219</v>
      </c>
      <c r="E89" s="774" t="s">
        <v>165</v>
      </c>
      <c r="F89" s="776"/>
      <c r="G89" s="778" t="s">
        <v>220</v>
      </c>
      <c r="H89" s="763">
        <v>113070.7</v>
      </c>
      <c r="I89" s="763">
        <v>144712.9</v>
      </c>
      <c r="J89" s="763">
        <v>139775.8</v>
      </c>
      <c r="K89" s="486"/>
      <c r="L89" s="763">
        <f>78384.9+66011.5</f>
        <v>144396.4</v>
      </c>
      <c r="M89" s="763">
        <f>78384.9+66011.5</f>
        <v>144396.4</v>
      </c>
      <c r="N89" s="763">
        <f>M89</f>
        <v>144396.4</v>
      </c>
      <c r="O89" s="121" t="s">
        <v>221</v>
      </c>
      <c r="P89" s="122" t="s">
        <v>114</v>
      </c>
      <c r="Q89" s="121">
        <v>626</v>
      </c>
      <c r="R89" s="122">
        <v>348</v>
      </c>
      <c r="S89" s="179">
        <v>367</v>
      </c>
      <c r="T89" s="180">
        <v>353</v>
      </c>
      <c r="U89" s="180">
        <v>345</v>
      </c>
      <c r="V89" s="181">
        <v>345</v>
      </c>
    </row>
    <row r="90" spans="1:22" s="7" customFormat="1" ht="108">
      <c r="A90" s="46"/>
      <c r="B90" s="47"/>
      <c r="C90" s="47"/>
      <c r="D90" s="772"/>
      <c r="E90" s="780"/>
      <c r="F90" s="782"/>
      <c r="G90" s="778"/>
      <c r="H90" s="763"/>
      <c r="I90" s="763"/>
      <c r="J90" s="763"/>
      <c r="K90" s="486"/>
      <c r="L90" s="763"/>
      <c r="M90" s="763"/>
      <c r="N90" s="763"/>
      <c r="O90" s="121" t="s">
        <v>222</v>
      </c>
      <c r="P90" s="122" t="s">
        <v>114</v>
      </c>
      <c r="Q90" s="121">
        <v>11159</v>
      </c>
      <c r="R90" s="122">
        <v>11120</v>
      </c>
      <c r="S90" s="179">
        <v>11643</v>
      </c>
      <c r="T90" s="180">
        <v>11987</v>
      </c>
      <c r="U90" s="180">
        <v>12102</v>
      </c>
      <c r="V90" s="181">
        <v>12102</v>
      </c>
    </row>
    <row r="91" spans="1:22" s="7" customFormat="1" ht="126">
      <c r="A91" s="46"/>
      <c r="B91" s="47"/>
      <c r="C91" s="47"/>
      <c r="D91" s="772"/>
      <c r="E91" s="781"/>
      <c r="F91" s="783"/>
      <c r="G91" s="778"/>
      <c r="H91" s="763"/>
      <c r="I91" s="763"/>
      <c r="J91" s="763"/>
      <c r="K91" s="486"/>
      <c r="L91" s="763"/>
      <c r="M91" s="763"/>
      <c r="N91" s="763"/>
      <c r="O91" s="121" t="s">
        <v>223</v>
      </c>
      <c r="P91" s="121" t="s">
        <v>224</v>
      </c>
      <c r="Q91" s="121">
        <v>50</v>
      </c>
      <c r="R91" s="122">
        <v>50</v>
      </c>
      <c r="S91" s="179">
        <v>50</v>
      </c>
      <c r="T91" s="180">
        <v>50</v>
      </c>
      <c r="U91" s="180">
        <v>50</v>
      </c>
      <c r="V91" s="181">
        <v>50</v>
      </c>
    </row>
    <row r="92" spans="1:22" s="7" customFormat="1" ht="108">
      <c r="A92" s="46"/>
      <c r="B92" s="47" t="s">
        <v>119</v>
      </c>
      <c r="C92" s="47"/>
      <c r="D92" s="772" t="s">
        <v>225</v>
      </c>
      <c r="E92" s="774" t="s">
        <v>165</v>
      </c>
      <c r="F92" s="776"/>
      <c r="G92" s="778" t="s">
        <v>226</v>
      </c>
      <c r="H92" s="763">
        <v>211195.9</v>
      </c>
      <c r="I92" s="763">
        <v>208830.1</v>
      </c>
      <c r="J92" s="763">
        <v>216122.2</v>
      </c>
      <c r="K92" s="486"/>
      <c r="L92" s="763">
        <f>121087.9+111361.5</f>
        <v>232449.4</v>
      </c>
      <c r="M92" s="763">
        <f>121087.9+111361.5</f>
        <v>232449.4</v>
      </c>
      <c r="N92" s="763">
        <f>M92</f>
        <v>232449.4</v>
      </c>
      <c r="O92" s="121" t="s">
        <v>227</v>
      </c>
      <c r="P92" s="122" t="s">
        <v>114</v>
      </c>
      <c r="Q92" s="121">
        <v>1210</v>
      </c>
      <c r="R92" s="122">
        <v>1519</v>
      </c>
      <c r="S92" s="179">
        <v>1110</v>
      </c>
      <c r="T92" s="180">
        <v>900</v>
      </c>
      <c r="U92" s="180">
        <v>900</v>
      </c>
      <c r="V92" s="181">
        <v>900</v>
      </c>
    </row>
    <row r="93" spans="1:22" s="7" customFormat="1" ht="72.75" thickBot="1">
      <c r="A93" s="66"/>
      <c r="B93" s="67"/>
      <c r="C93" s="67"/>
      <c r="D93" s="773"/>
      <c r="E93" s="775"/>
      <c r="F93" s="777"/>
      <c r="G93" s="779"/>
      <c r="H93" s="764"/>
      <c r="I93" s="764"/>
      <c r="J93" s="764"/>
      <c r="K93" s="487"/>
      <c r="L93" s="764"/>
      <c r="M93" s="764"/>
      <c r="N93" s="764"/>
      <c r="O93" s="121" t="s">
        <v>228</v>
      </c>
      <c r="P93" s="121" t="s">
        <v>224</v>
      </c>
      <c r="Q93" s="121">
        <v>392</v>
      </c>
      <c r="R93" s="122">
        <v>392</v>
      </c>
      <c r="S93" s="179">
        <v>392</v>
      </c>
      <c r="T93" s="180">
        <v>392</v>
      </c>
      <c r="U93" s="180">
        <v>392</v>
      </c>
      <c r="V93" s="181">
        <v>392</v>
      </c>
    </row>
    <row r="94" spans="1:22" s="7" customFormat="1" ht="33" customHeight="1" thickBot="1">
      <c r="A94" s="765" t="s">
        <v>229</v>
      </c>
      <c r="B94" s="766"/>
      <c r="C94" s="766"/>
      <c r="D94" s="766"/>
      <c r="E94" s="72"/>
      <c r="F94" s="72"/>
      <c r="G94" s="72"/>
      <c r="H94" s="73" t="e">
        <f aca="true" t="shared" si="1" ref="H94:N94">SUM(H9,H29,H54,H82)</f>
        <v>#REF!</v>
      </c>
      <c r="I94" s="73">
        <f t="shared" si="1"/>
        <v>3609408.989810857</v>
      </c>
      <c r="J94" s="73">
        <f t="shared" si="1"/>
        <v>3640467.2</v>
      </c>
      <c r="K94" s="73"/>
      <c r="L94" s="73">
        <f t="shared" si="1"/>
        <v>3986557.59</v>
      </c>
      <c r="M94" s="73">
        <f t="shared" si="1"/>
        <v>3981702.2379999994</v>
      </c>
      <c r="N94" s="73">
        <f t="shared" si="1"/>
        <v>3986467.3094800003</v>
      </c>
      <c r="O94" s="182"/>
      <c r="P94" s="770"/>
      <c r="Q94" s="771"/>
      <c r="R94" s="771"/>
      <c r="S94" s="771"/>
      <c r="T94" s="771"/>
      <c r="U94" s="771"/>
      <c r="V94" s="183"/>
    </row>
    <row r="98" spans="4:7" ht="12.75">
      <c r="D98" s="762"/>
      <c r="E98" s="762"/>
      <c r="F98" s="762"/>
      <c r="G98" s="762"/>
    </row>
    <row r="99" spans="4:11" ht="12.75">
      <c r="D99" s="762"/>
      <c r="E99" s="762"/>
      <c r="F99" s="762"/>
      <c r="G99" s="762"/>
      <c r="J99" s="74"/>
      <c r="K99" s="74"/>
    </row>
    <row r="100" spans="4:7" ht="12.75">
      <c r="D100" s="762"/>
      <c r="E100" s="762"/>
      <c r="F100" s="762"/>
      <c r="G100" s="762"/>
    </row>
    <row r="101" spans="4:7" ht="12.75">
      <c r="D101" s="762"/>
      <c r="E101" s="762"/>
      <c r="F101" s="762"/>
      <c r="G101" s="762"/>
    </row>
    <row r="103" spans="10:15" ht="15.75">
      <c r="J103" s="543"/>
      <c r="K103" s="543"/>
      <c r="L103" s="544"/>
      <c r="M103" s="544"/>
      <c r="N103" s="544"/>
      <c r="O103" s="545"/>
    </row>
    <row r="104" spans="10:15" ht="12.75">
      <c r="J104" s="543"/>
      <c r="K104" s="543"/>
      <c r="L104" s="543"/>
      <c r="M104" s="543"/>
      <c r="N104" s="543"/>
      <c r="O104" s="545"/>
    </row>
    <row r="105" spans="10:15" ht="12.75">
      <c r="J105" s="543"/>
      <c r="K105" s="543"/>
      <c r="L105" s="543"/>
      <c r="M105" s="543"/>
      <c r="N105" s="543"/>
      <c r="O105" s="545"/>
    </row>
  </sheetData>
  <sheetProtection/>
  <mergeCells count="278">
    <mergeCell ref="D79:D80"/>
    <mergeCell ref="I22:I23"/>
    <mergeCell ref="J22:J23"/>
    <mergeCell ref="L22:L23"/>
    <mergeCell ref="M22:M23"/>
    <mergeCell ref="N22:N23"/>
    <mergeCell ref="D22:D23"/>
    <mergeCell ref="A1:D1"/>
    <mergeCell ref="Q1:U1"/>
    <mergeCell ref="A2:U2"/>
    <mergeCell ref="A3:U3"/>
    <mergeCell ref="A6:A8"/>
    <mergeCell ref="B6:B8"/>
    <mergeCell ref="C6:C8"/>
    <mergeCell ref="D6:D8"/>
    <mergeCell ref="E6:E8"/>
    <mergeCell ref="F6:F8"/>
    <mergeCell ref="S6:V7"/>
    <mergeCell ref="G6:G8"/>
    <mergeCell ref="H6:N7"/>
    <mergeCell ref="O6:O8"/>
    <mergeCell ref="P6:P8"/>
    <mergeCell ref="Q6:Q7"/>
    <mergeCell ref="R6:R7"/>
    <mergeCell ref="A5:T5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L9:L12"/>
    <mergeCell ref="M9:M12"/>
    <mergeCell ref="N9:N12"/>
    <mergeCell ref="N14:N15"/>
    <mergeCell ref="D20:D21"/>
    <mergeCell ref="E20:E21"/>
    <mergeCell ref="F20:F21"/>
    <mergeCell ref="G20:G21"/>
    <mergeCell ref="H20:H21"/>
    <mergeCell ref="I20:I21"/>
    <mergeCell ref="J20:J21"/>
    <mergeCell ref="L20:L21"/>
    <mergeCell ref="M20:M21"/>
    <mergeCell ref="N20:N21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A25:A28"/>
    <mergeCell ref="B25:B28"/>
    <mergeCell ref="C25:C28"/>
    <mergeCell ref="D25:D28"/>
    <mergeCell ref="E25:E28"/>
    <mergeCell ref="F25:F28"/>
    <mergeCell ref="A32:A36"/>
    <mergeCell ref="B32:B36"/>
    <mergeCell ref="C32:C36"/>
    <mergeCell ref="D32:D36"/>
    <mergeCell ref="E32:E36"/>
    <mergeCell ref="F32:F36"/>
    <mergeCell ref="G32:G36"/>
    <mergeCell ref="N25:N28"/>
    <mergeCell ref="A29:A31"/>
    <mergeCell ref="B29:B31"/>
    <mergeCell ref="D29:D31"/>
    <mergeCell ref="E29:E31"/>
    <mergeCell ref="F29:F31"/>
    <mergeCell ref="G29:G31"/>
    <mergeCell ref="H29:H31"/>
    <mergeCell ref="I29:I31"/>
    <mergeCell ref="J29:J31"/>
    <mergeCell ref="G25:G28"/>
    <mergeCell ref="H25:H28"/>
    <mergeCell ref="I25:I28"/>
    <mergeCell ref="J25:J28"/>
    <mergeCell ref="L25:L28"/>
    <mergeCell ref="M25:M28"/>
    <mergeCell ref="H32:H36"/>
    <mergeCell ref="I32:I36"/>
    <mergeCell ref="J32:J36"/>
    <mergeCell ref="L32:L36"/>
    <mergeCell ref="M32:M36"/>
    <mergeCell ref="N32:N36"/>
    <mergeCell ref="L29:L31"/>
    <mergeCell ref="M29:M31"/>
    <mergeCell ref="N29:N31"/>
    <mergeCell ref="J37:J38"/>
    <mergeCell ref="L37:L38"/>
    <mergeCell ref="M37:M38"/>
    <mergeCell ref="N37:N38"/>
    <mergeCell ref="A39:A47"/>
    <mergeCell ref="B39:B47"/>
    <mergeCell ref="C39:C47"/>
    <mergeCell ref="D39:D47"/>
    <mergeCell ref="E39:E47"/>
    <mergeCell ref="F39:F47"/>
    <mergeCell ref="A37:A38"/>
    <mergeCell ref="B37:B38"/>
    <mergeCell ref="C37:C38"/>
    <mergeCell ref="D37:D38"/>
    <mergeCell ref="H37:H38"/>
    <mergeCell ref="I37:I38"/>
    <mergeCell ref="N39:N47"/>
    <mergeCell ref="G39:G47"/>
    <mergeCell ref="H39:H47"/>
    <mergeCell ref="I39:I47"/>
    <mergeCell ref="J39:J47"/>
    <mergeCell ref="L39:L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M39:M47"/>
    <mergeCell ref="J48:J50"/>
    <mergeCell ref="L48:L50"/>
    <mergeCell ref="M48:M50"/>
    <mergeCell ref="N48:N50"/>
    <mergeCell ref="D54:D57"/>
    <mergeCell ref="H54:H57"/>
    <mergeCell ref="I54:I57"/>
    <mergeCell ref="J54:J57"/>
    <mergeCell ref="L54:L57"/>
    <mergeCell ref="M54:M57"/>
    <mergeCell ref="T54:T55"/>
    <mergeCell ref="U54:U55"/>
    <mergeCell ref="V54:V55"/>
    <mergeCell ref="D58:D61"/>
    <mergeCell ref="E58:E61"/>
    <mergeCell ref="F58:F61"/>
    <mergeCell ref="G58:G61"/>
    <mergeCell ref="H58:H61"/>
    <mergeCell ref="I58:I61"/>
    <mergeCell ref="J58:J61"/>
    <mergeCell ref="N54:N57"/>
    <mergeCell ref="O54:O55"/>
    <mergeCell ref="P54:P55"/>
    <mergeCell ref="Q54:Q55"/>
    <mergeCell ref="R54:R55"/>
    <mergeCell ref="S54:S55"/>
    <mergeCell ref="L58:L61"/>
    <mergeCell ref="M58:M61"/>
    <mergeCell ref="N58:N61"/>
    <mergeCell ref="D64:D65"/>
    <mergeCell ref="G64:G65"/>
    <mergeCell ref="H64:H65"/>
    <mergeCell ref="I64:I65"/>
    <mergeCell ref="J64:J65"/>
    <mergeCell ref="L64:L65"/>
    <mergeCell ref="M64:M65"/>
    <mergeCell ref="N64:N65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L67:L68"/>
    <mergeCell ref="M67:M68"/>
    <mergeCell ref="N67:N68"/>
    <mergeCell ref="A70:A71"/>
    <mergeCell ref="B70:B71"/>
    <mergeCell ref="C70:C71"/>
    <mergeCell ref="D70:D71"/>
    <mergeCell ref="E70:E71"/>
    <mergeCell ref="F70:F71"/>
    <mergeCell ref="N70:N71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G70:G71"/>
    <mergeCell ref="H70:H71"/>
    <mergeCell ref="I70:I71"/>
    <mergeCell ref="J70:J71"/>
    <mergeCell ref="L70:L71"/>
    <mergeCell ref="M70:M71"/>
    <mergeCell ref="J73:J74"/>
    <mergeCell ref="L73:L74"/>
    <mergeCell ref="M73:M74"/>
    <mergeCell ref="N73:N74"/>
    <mergeCell ref="A76:A77"/>
    <mergeCell ref="B76:B77"/>
    <mergeCell ref="C76:C77"/>
    <mergeCell ref="D76:D77"/>
    <mergeCell ref="E76:E77"/>
    <mergeCell ref="F76:F77"/>
    <mergeCell ref="N76:N77"/>
    <mergeCell ref="G76:G77"/>
    <mergeCell ref="H76:H77"/>
    <mergeCell ref="I76:I77"/>
    <mergeCell ref="J76:J77"/>
    <mergeCell ref="L76:L77"/>
    <mergeCell ref="M76:M77"/>
    <mergeCell ref="D82:D83"/>
    <mergeCell ref="E82:E83"/>
    <mergeCell ref="F82:F83"/>
    <mergeCell ref="G82:G83"/>
    <mergeCell ref="H82:H83"/>
    <mergeCell ref="I82:I83"/>
    <mergeCell ref="J82:J83"/>
    <mergeCell ref="L82:L83"/>
    <mergeCell ref="M82:M83"/>
    <mergeCell ref="A87:A88"/>
    <mergeCell ref="B87:B88"/>
    <mergeCell ref="C87:C88"/>
    <mergeCell ref="D87:D88"/>
    <mergeCell ref="E87:E88"/>
    <mergeCell ref="F87:F88"/>
    <mergeCell ref="N82:N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G87:G88"/>
    <mergeCell ref="I87:I88"/>
    <mergeCell ref="J87:J88"/>
    <mergeCell ref="L87:L88"/>
    <mergeCell ref="M87:M88"/>
    <mergeCell ref="N87:N88"/>
    <mergeCell ref="J84:J86"/>
    <mergeCell ref="L84:L86"/>
    <mergeCell ref="M84:M86"/>
    <mergeCell ref="N84:N86"/>
    <mergeCell ref="P94:U94"/>
    <mergeCell ref="J89:J91"/>
    <mergeCell ref="L89:L91"/>
    <mergeCell ref="M89:M91"/>
    <mergeCell ref="N89:N91"/>
    <mergeCell ref="D92:D93"/>
    <mergeCell ref="E92:E93"/>
    <mergeCell ref="F92:F93"/>
    <mergeCell ref="G92:G93"/>
    <mergeCell ref="H92:H93"/>
    <mergeCell ref="I92:I93"/>
    <mergeCell ref="D89:D91"/>
    <mergeCell ref="E89:E91"/>
    <mergeCell ref="F89:F91"/>
    <mergeCell ref="G89:G91"/>
    <mergeCell ref="H89:H91"/>
    <mergeCell ref="I89:I91"/>
    <mergeCell ref="D98:G98"/>
    <mergeCell ref="D99:G99"/>
    <mergeCell ref="D100:G100"/>
    <mergeCell ref="D101:G101"/>
    <mergeCell ref="J92:J93"/>
    <mergeCell ref="L92:L93"/>
    <mergeCell ref="M92:M93"/>
    <mergeCell ref="N92:N93"/>
    <mergeCell ref="A94:D94"/>
  </mergeCells>
  <printOptions/>
  <pageMargins left="0.3937007874015748" right="0.1968503937007874" top="0.3937007874015748" bottom="0.3937007874015748" header="0.2362204724409449" footer="0.11811023622047245"/>
  <pageSetup fitToHeight="0" fitToWidth="1" horizontalDpi="600" verticalDpi="600" orientation="landscape" paperSize="9" scale="40" r:id="rId1"/>
  <headerFooter>
    <oddFooter>&amp;R&amp;"Arial,курсив"&amp;8&amp;P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63"/>
  <sheetViews>
    <sheetView zoomScale="68" zoomScaleNormal="68" zoomScaleSheetLayoutView="96" zoomScalePageLayoutView="0" workbookViewId="0" topLeftCell="A40">
      <selection activeCell="B59" sqref="B59:I66"/>
    </sheetView>
  </sheetViews>
  <sheetFormatPr defaultColWidth="9.140625" defaultRowHeight="12.75"/>
  <cols>
    <col min="1" max="1" width="9.8515625" style="187" customWidth="1"/>
    <col min="2" max="2" width="29.421875" style="187" customWidth="1"/>
    <col min="3" max="3" width="13.28125" style="187" customWidth="1"/>
    <col min="4" max="4" width="14.140625" style="187" customWidth="1"/>
    <col min="5" max="5" width="15.7109375" style="187" customWidth="1"/>
    <col min="6" max="6" width="16.140625" style="187" customWidth="1"/>
    <col min="7" max="7" width="14.421875" style="187" customWidth="1"/>
    <col min="8" max="8" width="12.28125" style="187" customWidth="1"/>
    <col min="9" max="9" width="18.8515625" style="187" customWidth="1"/>
    <col min="10" max="10" width="16.00390625" style="187" bestFit="1" customWidth="1"/>
    <col min="11" max="11" width="12.421875" style="187" customWidth="1"/>
    <col min="12" max="12" width="16.57421875" style="187" customWidth="1"/>
    <col min="13" max="13" width="12.28125" style="187" customWidth="1"/>
    <col min="14" max="14" width="16.28125" style="187" customWidth="1"/>
    <col min="15" max="15" width="9.8515625" style="187" bestFit="1" customWidth="1"/>
    <col min="16" max="16" width="15.421875" style="187" bestFit="1" customWidth="1"/>
    <col min="17" max="19" width="13.421875" style="187" bestFit="1" customWidth="1"/>
    <col min="20" max="16384" width="9.140625" style="187" customWidth="1"/>
  </cols>
  <sheetData>
    <row r="1" spans="1:14" ht="38.25" customHeight="1" hidden="1">
      <c r="A1" s="209" t="s">
        <v>0</v>
      </c>
      <c r="J1" s="913" t="s">
        <v>272</v>
      </c>
      <c r="K1" s="913"/>
      <c r="L1" s="913"/>
      <c r="M1" s="913"/>
      <c r="N1" s="913"/>
    </row>
    <row r="2" spans="1:14" ht="16.5" customHeight="1" hidden="1">
      <c r="A2" s="209"/>
      <c r="J2" s="913" t="s">
        <v>271</v>
      </c>
      <c r="K2" s="913"/>
      <c r="L2" s="913"/>
      <c r="M2" s="913"/>
      <c r="N2" s="913"/>
    </row>
    <row r="3" spans="1:14" ht="18" customHeight="1" hidden="1">
      <c r="A3" s="209"/>
      <c r="J3" s="913" t="s">
        <v>270</v>
      </c>
      <c r="K3" s="913"/>
      <c r="L3" s="913"/>
      <c r="M3" s="913"/>
      <c r="N3" s="913"/>
    </row>
    <row r="4" spans="1:14" ht="38.25" customHeight="1">
      <c r="A4" s="914" t="s">
        <v>269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</row>
    <row r="5" spans="1:14" ht="22.5" customHeight="1">
      <c r="A5" s="915" t="s">
        <v>268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</row>
    <row r="6" spans="1:14" ht="19.5" customHeight="1" hidden="1">
      <c r="A6" s="213" t="s">
        <v>267</v>
      </c>
      <c r="B6" s="208"/>
      <c r="C6" s="189"/>
      <c r="D6" s="189"/>
      <c r="E6" s="189"/>
      <c r="F6" s="189"/>
      <c r="G6" s="189"/>
      <c r="H6" s="189"/>
      <c r="N6" s="201" t="s">
        <v>264</v>
      </c>
    </row>
    <row r="7" spans="1:14" ht="30" customHeight="1" hidden="1">
      <c r="A7" s="908" t="s">
        <v>4</v>
      </c>
      <c r="B7" s="908" t="s">
        <v>263</v>
      </c>
      <c r="C7" s="898" t="s">
        <v>262</v>
      </c>
      <c r="D7" s="899"/>
      <c r="E7" s="899"/>
      <c r="F7" s="200"/>
      <c r="G7" s="908" t="s">
        <v>261</v>
      </c>
      <c r="H7" s="908"/>
      <c r="I7" s="908"/>
      <c r="J7" s="898" t="s">
        <v>260</v>
      </c>
      <c r="K7" s="899"/>
      <c r="L7" s="899"/>
      <c r="M7" s="900"/>
      <c r="N7" s="199" t="s">
        <v>259</v>
      </c>
    </row>
    <row r="8" spans="1:14" ht="18.75" customHeight="1" hidden="1">
      <c r="A8" s="908"/>
      <c r="B8" s="908"/>
      <c r="C8" s="901" t="s">
        <v>258</v>
      </c>
      <c r="D8" s="898" t="s">
        <v>256</v>
      </c>
      <c r="E8" s="899"/>
      <c r="F8" s="900"/>
      <c r="G8" s="901" t="s">
        <v>257</v>
      </c>
      <c r="H8" s="898" t="s">
        <v>256</v>
      </c>
      <c r="I8" s="905"/>
      <c r="J8" s="901" t="s">
        <v>257</v>
      </c>
      <c r="K8" s="910" t="s">
        <v>256</v>
      </c>
      <c r="L8" s="911"/>
      <c r="M8" s="912"/>
      <c r="N8" s="198"/>
    </row>
    <row r="9" spans="1:14" ht="78" customHeight="1" hidden="1">
      <c r="A9" s="908"/>
      <c r="B9" s="908"/>
      <c r="C9" s="904"/>
      <c r="D9" s="197" t="s">
        <v>252</v>
      </c>
      <c r="E9" s="197" t="s">
        <v>251</v>
      </c>
      <c r="F9" s="197" t="s">
        <v>255</v>
      </c>
      <c r="G9" s="902"/>
      <c r="H9" s="197" t="s">
        <v>254</v>
      </c>
      <c r="I9" s="197" t="s">
        <v>253</v>
      </c>
      <c r="J9" s="902"/>
      <c r="K9" s="197" t="s">
        <v>252</v>
      </c>
      <c r="L9" s="197" t="s">
        <v>251</v>
      </c>
      <c r="M9" s="197" t="s">
        <v>250</v>
      </c>
      <c r="N9" s="196"/>
    </row>
    <row r="10" spans="1:14" ht="30" customHeight="1" hidden="1">
      <c r="A10" s="194">
        <v>1</v>
      </c>
      <c r="B10" s="193" t="s">
        <v>249</v>
      </c>
      <c r="C10" s="191">
        <v>72225.9</v>
      </c>
      <c r="D10" s="192">
        <f>19386.3+20362+6376.3+3887.4+6376.3</f>
        <v>56388.30000000001</v>
      </c>
      <c r="E10" s="192">
        <v>31313.8</v>
      </c>
      <c r="F10" s="192"/>
      <c r="G10" s="192">
        <f>I10+H10</f>
        <v>962451.5</v>
      </c>
      <c r="H10" s="192">
        <v>941776.5</v>
      </c>
      <c r="I10" s="192">
        <v>20675</v>
      </c>
      <c r="J10" s="191">
        <v>9100</v>
      </c>
      <c r="K10" s="192">
        <v>2180.9</v>
      </c>
      <c r="L10" s="192">
        <v>6300</v>
      </c>
      <c r="M10" s="192"/>
      <c r="N10" s="191">
        <f>C10+J10</f>
        <v>81325.9</v>
      </c>
    </row>
    <row r="11" spans="1:14" ht="31.5" hidden="1">
      <c r="A11" s="194">
        <v>2</v>
      </c>
      <c r="B11" s="193" t="s">
        <v>248</v>
      </c>
      <c r="C11" s="191">
        <f>624232.8+2294.1</f>
        <v>626526.9</v>
      </c>
      <c r="D11" s="192">
        <f>98354.7+284179.5</f>
        <v>382534.2</v>
      </c>
      <c r="E11" s="192">
        <f>C11-D11-F11</f>
        <v>239764.40000000002</v>
      </c>
      <c r="F11" s="192">
        <v>4228.3</v>
      </c>
      <c r="G11" s="192"/>
      <c r="H11" s="192"/>
      <c r="I11" s="192"/>
      <c r="J11" s="191">
        <f>189429.3+3953</f>
        <v>193382.3</v>
      </c>
      <c r="K11" s="192">
        <v>74387.3</v>
      </c>
      <c r="L11" s="192">
        <f>J11-K11-M11</f>
        <v>114776.99999999999</v>
      </c>
      <c r="M11" s="192">
        <v>4218</v>
      </c>
      <c r="N11" s="191">
        <f>C11+G11+J11</f>
        <v>819909.2</v>
      </c>
    </row>
    <row r="12" spans="1:14" ht="47.25" hidden="1">
      <c r="A12" s="194">
        <v>3</v>
      </c>
      <c r="B12" s="193" t="s">
        <v>247</v>
      </c>
      <c r="C12" s="191">
        <f>1403677.4-4124.5</f>
        <v>1399552.9</v>
      </c>
      <c r="D12" s="192">
        <v>345882.1</v>
      </c>
      <c r="E12" s="192">
        <f>C12-D12</f>
        <v>1053670.7999999998</v>
      </c>
      <c r="F12" s="192"/>
      <c r="G12" s="192"/>
      <c r="H12" s="192"/>
      <c r="I12" s="192"/>
      <c r="J12" s="191">
        <f>322893.3+4124.4</f>
        <v>327017.7</v>
      </c>
      <c r="K12" s="192">
        <v>119833.1</v>
      </c>
      <c r="L12" s="192">
        <f>J12-K12-M12</f>
        <v>183554.6</v>
      </c>
      <c r="M12" s="192">
        <v>23630</v>
      </c>
      <c r="N12" s="191">
        <f>C12+G12+J12</f>
        <v>1726570.5999999999</v>
      </c>
    </row>
    <row r="13" spans="1:14" ht="63" hidden="1">
      <c r="A13" s="194">
        <v>4</v>
      </c>
      <c r="B13" s="193" t="s">
        <v>246</v>
      </c>
      <c r="C13" s="191">
        <f>332037+2324.5</f>
        <v>334361.5</v>
      </c>
      <c r="D13" s="192">
        <v>228252</v>
      </c>
      <c r="E13" s="192">
        <f>C13-D13</f>
        <v>106109.5</v>
      </c>
      <c r="F13" s="192"/>
      <c r="G13" s="192"/>
      <c r="H13" s="192"/>
      <c r="I13" s="192"/>
      <c r="J13" s="191">
        <v>678300</v>
      </c>
      <c r="K13" s="192">
        <v>397420.5</v>
      </c>
      <c r="L13" s="192">
        <f>J13-K13-M13</f>
        <v>272089.5</v>
      </c>
      <c r="M13" s="192">
        <v>8790</v>
      </c>
      <c r="N13" s="191">
        <f>C13+G13+J13</f>
        <v>1012661.5</v>
      </c>
    </row>
    <row r="14" spans="1:14" s="207" customFormat="1" ht="15.75" hidden="1">
      <c r="A14" s="906" t="s">
        <v>245</v>
      </c>
      <c r="B14" s="906"/>
      <c r="C14" s="191">
        <f aca="true" t="shared" si="0" ref="C14:N14">SUM(C10:C13)</f>
        <v>2432667.2</v>
      </c>
      <c r="D14" s="191">
        <f t="shared" si="0"/>
        <v>1013056.6</v>
      </c>
      <c r="E14" s="191">
        <f t="shared" si="0"/>
        <v>1430858.4999999998</v>
      </c>
      <c r="F14" s="191">
        <f t="shared" si="0"/>
        <v>4228.3</v>
      </c>
      <c r="G14" s="191">
        <f t="shared" si="0"/>
        <v>962451.5</v>
      </c>
      <c r="H14" s="191">
        <f t="shared" si="0"/>
        <v>941776.5</v>
      </c>
      <c r="I14" s="191">
        <f t="shared" si="0"/>
        <v>20675</v>
      </c>
      <c r="J14" s="191">
        <f t="shared" si="0"/>
        <v>1207800</v>
      </c>
      <c r="K14" s="191">
        <f t="shared" si="0"/>
        <v>593821.8</v>
      </c>
      <c r="L14" s="191">
        <f t="shared" si="0"/>
        <v>576721.1</v>
      </c>
      <c r="M14" s="191">
        <f t="shared" si="0"/>
        <v>36638</v>
      </c>
      <c r="N14" s="191">
        <f t="shared" si="0"/>
        <v>3640467.1999999997</v>
      </c>
    </row>
    <row r="15" spans="2:13" ht="0.75" customHeight="1" hidden="1">
      <c r="B15" s="909"/>
      <c r="C15" s="909"/>
      <c r="D15" s="909"/>
      <c r="E15" s="909"/>
      <c r="F15" s="909"/>
      <c r="G15" s="909"/>
      <c r="H15" s="909"/>
      <c r="I15" s="909"/>
      <c r="J15" s="909"/>
      <c r="K15" s="909"/>
      <c r="L15" s="909"/>
      <c r="M15" s="188"/>
    </row>
    <row r="16" spans="2:13" ht="15.75" hidden="1"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8"/>
    </row>
    <row r="17" spans="2:13" s="202" customFormat="1" ht="9" customHeight="1" hidden="1">
      <c r="B17" s="206"/>
      <c r="C17" s="205"/>
      <c r="D17" s="204">
        <f>C26/C14</f>
        <v>1.00067370497699</v>
      </c>
      <c r="E17" s="205">
        <f>E14-E10</f>
        <v>1399544.6999999997</v>
      </c>
      <c r="F17" s="204">
        <v>5772.425776000135</v>
      </c>
      <c r="G17" s="204"/>
      <c r="H17" s="204">
        <v>2432667.2</v>
      </c>
      <c r="I17" s="205"/>
      <c r="J17" s="205"/>
      <c r="K17" s="204"/>
      <c r="L17" s="204"/>
      <c r="M17" s="203"/>
    </row>
    <row r="18" spans="1:14" ht="15" customHeight="1">
      <c r="A18" s="222" t="s">
        <v>266</v>
      </c>
      <c r="B18" s="907"/>
      <c r="C18" s="907"/>
      <c r="D18" s="907"/>
      <c r="E18" s="907"/>
      <c r="F18" s="907"/>
      <c r="G18" s="907"/>
      <c r="H18" s="907"/>
      <c r="N18" s="201" t="s">
        <v>264</v>
      </c>
    </row>
    <row r="19" spans="1:14" ht="31.5" customHeight="1">
      <c r="A19" s="908" t="s">
        <v>4</v>
      </c>
      <c r="B19" s="908" t="s">
        <v>263</v>
      </c>
      <c r="C19" s="898" t="s">
        <v>262</v>
      </c>
      <c r="D19" s="899"/>
      <c r="E19" s="899"/>
      <c r="F19" s="211"/>
      <c r="G19" s="908" t="s">
        <v>261</v>
      </c>
      <c r="H19" s="908"/>
      <c r="I19" s="908"/>
      <c r="J19" s="898" t="s">
        <v>260</v>
      </c>
      <c r="K19" s="899"/>
      <c r="L19" s="899"/>
      <c r="M19" s="900"/>
      <c r="N19" s="199" t="s">
        <v>259</v>
      </c>
    </row>
    <row r="20" spans="1:19" ht="15" customHeight="1">
      <c r="A20" s="908"/>
      <c r="B20" s="908"/>
      <c r="C20" s="901" t="s">
        <v>258</v>
      </c>
      <c r="D20" s="898" t="s">
        <v>256</v>
      </c>
      <c r="E20" s="899"/>
      <c r="F20" s="900"/>
      <c r="G20" s="901" t="s">
        <v>257</v>
      </c>
      <c r="H20" s="898" t="s">
        <v>256</v>
      </c>
      <c r="I20" s="905"/>
      <c r="J20" s="901" t="s">
        <v>257</v>
      </c>
      <c r="K20" s="910" t="s">
        <v>256</v>
      </c>
      <c r="L20" s="911"/>
      <c r="M20" s="912"/>
      <c r="N20" s="198"/>
      <c r="Q20" s="195"/>
      <c r="R20" s="195"/>
      <c r="S20" s="195"/>
    </row>
    <row r="21" spans="1:19" ht="78.75">
      <c r="A21" s="908"/>
      <c r="B21" s="908"/>
      <c r="C21" s="904"/>
      <c r="D21" s="210" t="s">
        <v>252</v>
      </c>
      <c r="E21" s="210" t="s">
        <v>251</v>
      </c>
      <c r="F21" s="210" t="s">
        <v>255</v>
      </c>
      <c r="G21" s="902"/>
      <c r="H21" s="210" t="s">
        <v>254</v>
      </c>
      <c r="I21" s="210" t="s">
        <v>253</v>
      </c>
      <c r="J21" s="902"/>
      <c r="K21" s="210" t="s">
        <v>252</v>
      </c>
      <c r="L21" s="210" t="s">
        <v>251</v>
      </c>
      <c r="M21" s="210" t="s">
        <v>250</v>
      </c>
      <c r="N21" s="196"/>
      <c r="Q21" s="195"/>
      <c r="R21" s="195"/>
      <c r="S21" s="195"/>
    </row>
    <row r="22" spans="1:15" ht="31.5">
      <c r="A22" s="194">
        <v>1</v>
      </c>
      <c r="B22" s="193" t="s">
        <v>249</v>
      </c>
      <c r="C22" s="191">
        <f>D22+E22+F22</f>
        <v>88760.4</v>
      </c>
      <c r="D22" s="192">
        <f>'прил 4-1'!G12</f>
        <v>53736.3</v>
      </c>
      <c r="E22" s="192">
        <f>'прил 4-1'!H12</f>
        <v>35024.1</v>
      </c>
      <c r="F22" s="192"/>
      <c r="G22" s="191">
        <f>I22+H22</f>
        <v>962451.5</v>
      </c>
      <c r="H22" s="192">
        <v>941776.5</v>
      </c>
      <c r="I22" s="192">
        <v>20675</v>
      </c>
      <c r="J22" s="191">
        <f>K22+L22+M22</f>
        <v>9100</v>
      </c>
      <c r="K22" s="192">
        <f>'прил 4-2'!G21</f>
        <v>3354.1</v>
      </c>
      <c r="L22" s="192">
        <f>'прил 4-2'!H21</f>
        <v>5601.9</v>
      </c>
      <c r="M22" s="192">
        <f>'прил 4-2'!N21</f>
        <v>144</v>
      </c>
      <c r="N22" s="191">
        <f>C22+J22-0.1</f>
        <v>97860.29999999999</v>
      </c>
      <c r="O22" s="195"/>
    </row>
    <row r="23" spans="1:18" ht="31.5">
      <c r="A23" s="194">
        <v>2</v>
      </c>
      <c r="B23" s="193" t="s">
        <v>248</v>
      </c>
      <c r="C23" s="191">
        <f>D23+E23+F23</f>
        <v>693741.6000000001</v>
      </c>
      <c r="D23" s="192">
        <f>'прил 4-1'!G23</f>
        <v>410110.6000000001</v>
      </c>
      <c r="E23" s="192">
        <f>'прил 4-1'!H23</f>
        <v>279402.7</v>
      </c>
      <c r="F23" s="192">
        <f>'прил 4-1'!N23</f>
        <v>4228.3</v>
      </c>
      <c r="G23" s="192"/>
      <c r="H23" s="192"/>
      <c r="I23" s="192"/>
      <c r="J23" s="191">
        <f>K23+L23+M23</f>
        <v>272121.9</v>
      </c>
      <c r="K23" s="192">
        <f>'прил 4-2'!G30</f>
        <v>88085.6</v>
      </c>
      <c r="L23" s="192">
        <f>'прил 4-2'!H30</f>
        <v>181175.8</v>
      </c>
      <c r="M23" s="192">
        <f>'прил 4-2'!N30</f>
        <v>2860.5</v>
      </c>
      <c r="N23" s="191">
        <f>C23+J23-0.1</f>
        <v>965863.4000000001</v>
      </c>
      <c r="Q23" s="195"/>
      <c r="R23" s="195"/>
    </row>
    <row r="24" spans="1:19" ht="46.5" customHeight="1">
      <c r="A24" s="194">
        <v>3</v>
      </c>
      <c r="B24" s="193" t="s">
        <v>247</v>
      </c>
      <c r="C24" s="191">
        <f>D24+E24+F24</f>
        <v>1337252.3</v>
      </c>
      <c r="D24" s="192">
        <f>'прил 4-1'!G31</f>
        <v>345234.2</v>
      </c>
      <c r="E24" s="192">
        <f>'прил 4-1'!H31</f>
        <v>992018.1</v>
      </c>
      <c r="F24" s="192"/>
      <c r="G24" s="192"/>
      <c r="H24" s="192"/>
      <c r="I24" s="192"/>
      <c r="J24" s="191">
        <f>K24+L24+M24</f>
        <v>373486.6</v>
      </c>
      <c r="K24" s="192">
        <f>'прил 4-2'!G45</f>
        <v>159305.69999999998</v>
      </c>
      <c r="L24" s="192">
        <f>'прил 4-2'!H45</f>
        <v>165953.5</v>
      </c>
      <c r="M24" s="192">
        <f>'прил 4-2'!N45</f>
        <v>48227.40000000001</v>
      </c>
      <c r="N24" s="191">
        <f>C24+J24-0.1</f>
        <v>1710738.7999999998</v>
      </c>
      <c r="Q24" s="195"/>
      <c r="R24" s="195"/>
      <c r="S24" s="195"/>
    </row>
    <row r="25" spans="1:19" ht="63">
      <c r="A25" s="194">
        <v>4</v>
      </c>
      <c r="B25" s="193" t="s">
        <v>246</v>
      </c>
      <c r="C25" s="191">
        <f>D25+E25+F25</f>
        <v>314551.80000000005</v>
      </c>
      <c r="D25" s="192">
        <f>'прил 4-1'!G45</f>
        <v>256717.60000000003</v>
      </c>
      <c r="E25" s="192">
        <f>'прил 4-1'!H45</f>
        <v>57834.2</v>
      </c>
      <c r="F25" s="192"/>
      <c r="G25" s="192"/>
      <c r="H25" s="192"/>
      <c r="I25" s="192"/>
      <c r="J25" s="191">
        <f>K25+L25+M25</f>
        <v>897541.5</v>
      </c>
      <c r="K25" s="192">
        <f>'прил 4-2'!G51</f>
        <v>444442.4</v>
      </c>
      <c r="L25" s="192">
        <f>'прил 4-2'!H51</f>
        <v>443784.3</v>
      </c>
      <c r="M25" s="192">
        <f>'прил 4-2'!N51</f>
        <v>9314.8</v>
      </c>
      <c r="N25" s="191">
        <f>C25+J25-0.1</f>
        <v>1212093.2</v>
      </c>
      <c r="Q25" s="195"/>
      <c r="R25" s="195"/>
      <c r="S25" s="195"/>
    </row>
    <row r="26" spans="1:14" ht="15.75">
      <c r="A26" s="906" t="s">
        <v>245</v>
      </c>
      <c r="B26" s="906"/>
      <c r="C26" s="191">
        <f>C22+C23+C24+C25</f>
        <v>2434306.1000000006</v>
      </c>
      <c r="D26" s="191">
        <f aca="true" t="shared" si="1" ref="D26:N26">SUM(D22:D25)</f>
        <v>1065798.7000000002</v>
      </c>
      <c r="E26" s="191">
        <f t="shared" si="1"/>
        <v>1364279.0999999999</v>
      </c>
      <c r="F26" s="191">
        <f t="shared" si="1"/>
        <v>4228.3</v>
      </c>
      <c r="G26" s="191">
        <f t="shared" si="1"/>
        <v>962451.5</v>
      </c>
      <c r="H26" s="191">
        <f t="shared" si="1"/>
        <v>941776.5</v>
      </c>
      <c r="I26" s="191">
        <f t="shared" si="1"/>
        <v>20675</v>
      </c>
      <c r="J26" s="191">
        <f t="shared" si="1"/>
        <v>1552250</v>
      </c>
      <c r="K26" s="191">
        <f t="shared" si="1"/>
        <v>695187.8</v>
      </c>
      <c r="L26" s="191">
        <f t="shared" si="1"/>
        <v>796515.5</v>
      </c>
      <c r="M26" s="191">
        <f t="shared" si="1"/>
        <v>60546.70000000001</v>
      </c>
      <c r="N26" s="191">
        <f t="shared" si="1"/>
        <v>3986555.7</v>
      </c>
    </row>
    <row r="27" spans="2:13" ht="9" customHeight="1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8"/>
    </row>
    <row r="28" spans="2:13" ht="15.75">
      <c r="B28" s="189"/>
      <c r="C28" s="190"/>
      <c r="D28" s="190"/>
      <c r="E28" s="189"/>
      <c r="F28" s="189"/>
      <c r="G28" s="189"/>
      <c r="H28" s="189"/>
      <c r="I28" s="189"/>
      <c r="J28" s="190"/>
      <c r="K28" s="190"/>
      <c r="L28" s="189"/>
      <c r="M28" s="188"/>
    </row>
    <row r="29" spans="2:13" ht="0" customHeight="1" hidden="1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8"/>
    </row>
    <row r="30" spans="2:13" ht="15.75" hidden="1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8"/>
    </row>
    <row r="31" spans="1:14" ht="15.75">
      <c r="A31" s="222" t="s">
        <v>265</v>
      </c>
      <c r="B31" s="907"/>
      <c r="C31" s="907"/>
      <c r="D31" s="907"/>
      <c r="E31" s="907"/>
      <c r="F31" s="907"/>
      <c r="G31" s="907"/>
      <c r="H31" s="907"/>
      <c r="N31" s="201" t="s">
        <v>264</v>
      </c>
    </row>
    <row r="32" spans="1:14" ht="29.25" customHeight="1">
      <c r="A32" s="901" t="s">
        <v>4</v>
      </c>
      <c r="B32" s="901" t="s">
        <v>263</v>
      </c>
      <c r="C32" s="898" t="s">
        <v>262</v>
      </c>
      <c r="D32" s="899"/>
      <c r="E32" s="899"/>
      <c r="F32" s="211"/>
      <c r="G32" s="898" t="s">
        <v>261</v>
      </c>
      <c r="H32" s="899"/>
      <c r="I32" s="900"/>
      <c r="J32" s="898" t="s">
        <v>260</v>
      </c>
      <c r="K32" s="899"/>
      <c r="L32" s="899"/>
      <c r="M32" s="900"/>
      <c r="N32" s="199" t="s">
        <v>259</v>
      </c>
    </row>
    <row r="33" spans="1:14" ht="13.5" customHeight="1">
      <c r="A33" s="903"/>
      <c r="B33" s="903"/>
      <c r="C33" s="901" t="s">
        <v>258</v>
      </c>
      <c r="D33" s="898" t="s">
        <v>256</v>
      </c>
      <c r="E33" s="899"/>
      <c r="F33" s="900"/>
      <c r="G33" s="901" t="s">
        <v>257</v>
      </c>
      <c r="H33" s="898" t="s">
        <v>256</v>
      </c>
      <c r="I33" s="905"/>
      <c r="J33" s="901" t="s">
        <v>257</v>
      </c>
      <c r="K33" s="898" t="s">
        <v>256</v>
      </c>
      <c r="L33" s="899"/>
      <c r="M33" s="900"/>
      <c r="N33" s="198"/>
    </row>
    <row r="34" spans="1:14" ht="78.75">
      <c r="A34" s="902"/>
      <c r="B34" s="902"/>
      <c r="C34" s="904"/>
      <c r="D34" s="210" t="s">
        <v>252</v>
      </c>
      <c r="E34" s="210" t="s">
        <v>251</v>
      </c>
      <c r="F34" s="210" t="s">
        <v>255</v>
      </c>
      <c r="G34" s="902"/>
      <c r="H34" s="210" t="s">
        <v>254</v>
      </c>
      <c r="I34" s="210" t="s">
        <v>253</v>
      </c>
      <c r="J34" s="902"/>
      <c r="K34" s="210" t="s">
        <v>252</v>
      </c>
      <c r="L34" s="210" t="s">
        <v>251</v>
      </c>
      <c r="M34" s="210" t="s">
        <v>250</v>
      </c>
      <c r="N34" s="196"/>
    </row>
    <row r="35" spans="1:16" ht="31.5">
      <c r="A35" s="194">
        <v>1</v>
      </c>
      <c r="B35" s="193" t="s">
        <v>249</v>
      </c>
      <c r="C35" s="191">
        <f>D35+E35+F35</f>
        <v>88814.9021368052</v>
      </c>
      <c r="D35" s="192">
        <f>D22</f>
        <v>53736.3</v>
      </c>
      <c r="E35" s="192">
        <f>E22*1.00155613240041</f>
        <v>35078.6021368052</v>
      </c>
      <c r="F35" s="192"/>
      <c r="G35" s="192">
        <f>I35+H35</f>
        <v>962451.5</v>
      </c>
      <c r="H35" s="192">
        <v>941776.5</v>
      </c>
      <c r="I35" s="192">
        <v>20675</v>
      </c>
      <c r="J35" s="191">
        <f>K35+L35+M35</f>
        <v>9215.620905247011</v>
      </c>
      <c r="K35" s="192">
        <f>K22</f>
        <v>3354.1</v>
      </c>
      <c r="L35" s="192">
        <f>L22*0.991238848470521+164.7</f>
        <v>5717.520905247011</v>
      </c>
      <c r="M35" s="192">
        <f>M22</f>
        <v>144</v>
      </c>
      <c r="N35" s="191">
        <f>C35+J35-0.1</f>
        <v>98030.4230420522</v>
      </c>
      <c r="P35" s="195"/>
    </row>
    <row r="36" spans="1:16" ht="31.5">
      <c r="A36" s="194">
        <v>2</v>
      </c>
      <c r="B36" s="193" t="s">
        <v>248</v>
      </c>
      <c r="C36" s="191">
        <f>D36+E36+F36</f>
        <v>694176.3875942322</v>
      </c>
      <c r="D36" s="192">
        <f>D23</f>
        <v>410110.6000000001</v>
      </c>
      <c r="E36" s="192">
        <f>E23*1.00155613240041</f>
        <v>279837.4875942321</v>
      </c>
      <c r="F36" s="192">
        <f>F23</f>
        <v>4228.3</v>
      </c>
      <c r="G36" s="192"/>
      <c r="H36" s="192"/>
      <c r="I36" s="192"/>
      <c r="J36" s="191">
        <f>K36+L36+M36</f>
        <v>272265.4913627254</v>
      </c>
      <c r="K36" s="192">
        <f>K23</f>
        <v>88085.6</v>
      </c>
      <c r="L36" s="192">
        <f>L23*0.991238848470521+1730.9</f>
        <v>181319.3913627254</v>
      </c>
      <c r="M36" s="192">
        <f>M23</f>
        <v>2860.5</v>
      </c>
      <c r="N36" s="191">
        <f>C36+G36+J36</f>
        <v>966441.8789569576</v>
      </c>
      <c r="P36" s="195"/>
    </row>
    <row r="37" spans="1:16" ht="46.5" customHeight="1">
      <c r="A37" s="194">
        <v>3</v>
      </c>
      <c r="B37" s="193" t="s">
        <v>247</v>
      </c>
      <c r="C37" s="191">
        <f>D37+E37+F37</f>
        <v>1338796.0115072033</v>
      </c>
      <c r="D37" s="192">
        <f>D24</f>
        <v>345234.2</v>
      </c>
      <c r="E37" s="192">
        <f>E24*1.00155613240041</f>
        <v>993561.8115072033</v>
      </c>
      <c r="F37" s="192"/>
      <c r="G37" s="192"/>
      <c r="H37" s="192"/>
      <c r="I37" s="192"/>
      <c r="J37" s="191">
        <f>K37+L37+M37</f>
        <v>385029.4562396526</v>
      </c>
      <c r="K37" s="192">
        <f>K24</f>
        <v>159305.69999999998</v>
      </c>
      <c r="L37" s="192">
        <f>L24*0.991238848470521+12996.8</f>
        <v>177496.3562396526</v>
      </c>
      <c r="M37" s="192">
        <f>M24</f>
        <v>48227.40000000001</v>
      </c>
      <c r="N37" s="221">
        <f>C37+G37+J37</f>
        <v>1723825.467746856</v>
      </c>
      <c r="P37" s="195"/>
    </row>
    <row r="38" spans="1:14" ht="63">
      <c r="A38" s="194">
        <v>4</v>
      </c>
      <c r="B38" s="193" t="s">
        <v>246</v>
      </c>
      <c r="C38" s="191">
        <f>D38+E38+F38</f>
        <v>314641.79767247185</v>
      </c>
      <c r="D38" s="192">
        <f>D25</f>
        <v>256717.60000000003</v>
      </c>
      <c r="E38" s="192">
        <f>E25*1.00155613240041</f>
        <v>57924.1976724718</v>
      </c>
      <c r="F38" s="192"/>
      <c r="G38" s="192"/>
      <c r="H38" s="192"/>
      <c r="I38" s="192"/>
      <c r="J38" s="191">
        <f>K38+L38+M38</f>
        <v>878761.0385012962</v>
      </c>
      <c r="K38" s="192">
        <f>K25</f>
        <v>444442.4</v>
      </c>
      <c r="L38" s="192">
        <f>L25*0.991238848470521-14892.4</f>
        <v>425003.8385012962</v>
      </c>
      <c r="M38" s="192">
        <f>M25</f>
        <v>9314.8</v>
      </c>
      <c r="N38" s="221">
        <f>C38+G38+J38</f>
        <v>1193402.8361737682</v>
      </c>
    </row>
    <row r="39" spans="1:17" ht="15.75">
      <c r="A39" s="896" t="s">
        <v>245</v>
      </c>
      <c r="B39" s="897"/>
      <c r="C39" s="191">
        <f aca="true" t="shared" si="2" ref="C39:N39">SUM(C35:C38)</f>
        <v>2436429.0989107126</v>
      </c>
      <c r="D39" s="191">
        <f t="shared" si="2"/>
        <v>1065798.7000000002</v>
      </c>
      <c r="E39" s="191">
        <f t="shared" si="2"/>
        <v>1366402.0989107124</v>
      </c>
      <c r="F39" s="191">
        <f t="shared" si="2"/>
        <v>4228.3</v>
      </c>
      <c r="G39" s="191">
        <f t="shared" si="2"/>
        <v>962451.5</v>
      </c>
      <c r="H39" s="191">
        <f t="shared" si="2"/>
        <v>941776.5</v>
      </c>
      <c r="I39" s="191">
        <f t="shared" si="2"/>
        <v>20675</v>
      </c>
      <c r="J39" s="191">
        <f t="shared" si="2"/>
        <v>1545271.6070089212</v>
      </c>
      <c r="K39" s="191">
        <f t="shared" si="2"/>
        <v>695187.8</v>
      </c>
      <c r="L39" s="191">
        <f t="shared" si="2"/>
        <v>789537.1070089212</v>
      </c>
      <c r="M39" s="191">
        <f t="shared" si="2"/>
        <v>60546.70000000001</v>
      </c>
      <c r="N39" s="191">
        <f t="shared" si="2"/>
        <v>3981700.605919634</v>
      </c>
      <c r="Q39" s="195"/>
    </row>
    <row r="40" spans="2:13" ht="8.25" customHeight="1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8"/>
    </row>
    <row r="41" spans="2:13" ht="8.25" customHeight="1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8"/>
    </row>
    <row r="42" spans="2:14" ht="15.75">
      <c r="B42" s="189"/>
      <c r="C42" s="523"/>
      <c r="D42" s="190"/>
      <c r="E42" s="190"/>
      <c r="F42" s="524"/>
      <c r="G42" s="190"/>
      <c r="H42" s="190"/>
      <c r="I42" s="190"/>
      <c r="J42" s="190"/>
      <c r="K42" s="190"/>
      <c r="L42" s="190"/>
      <c r="M42" s="190"/>
      <c r="N42" s="190"/>
    </row>
    <row r="43" spans="1:14" ht="15.75">
      <c r="A43" s="222" t="s">
        <v>273</v>
      </c>
      <c r="B43" s="907"/>
      <c r="C43" s="907"/>
      <c r="D43" s="907"/>
      <c r="E43" s="907"/>
      <c r="F43" s="907"/>
      <c r="G43" s="907"/>
      <c r="H43" s="907"/>
      <c r="N43" s="201" t="s">
        <v>264</v>
      </c>
    </row>
    <row r="44" spans="1:14" ht="15" customHeight="1">
      <c r="A44" s="908" t="s">
        <v>4</v>
      </c>
      <c r="B44" s="908" t="s">
        <v>263</v>
      </c>
      <c r="C44" s="898" t="s">
        <v>262</v>
      </c>
      <c r="D44" s="899"/>
      <c r="E44" s="899"/>
      <c r="F44" s="211"/>
      <c r="G44" s="908" t="s">
        <v>261</v>
      </c>
      <c r="H44" s="908"/>
      <c r="I44" s="908"/>
      <c r="J44" s="898" t="s">
        <v>260</v>
      </c>
      <c r="K44" s="899"/>
      <c r="L44" s="899"/>
      <c r="M44" s="900"/>
      <c r="N44" s="199" t="s">
        <v>259</v>
      </c>
    </row>
    <row r="45" spans="1:14" ht="15" customHeight="1">
      <c r="A45" s="908"/>
      <c r="B45" s="908"/>
      <c r="C45" s="901" t="s">
        <v>258</v>
      </c>
      <c r="D45" s="898" t="s">
        <v>256</v>
      </c>
      <c r="E45" s="899"/>
      <c r="F45" s="900"/>
      <c r="G45" s="901" t="s">
        <v>257</v>
      </c>
      <c r="H45" s="898" t="s">
        <v>256</v>
      </c>
      <c r="I45" s="905"/>
      <c r="J45" s="901" t="s">
        <v>257</v>
      </c>
      <c r="K45" s="910" t="s">
        <v>256</v>
      </c>
      <c r="L45" s="911"/>
      <c r="M45" s="912"/>
      <c r="N45" s="198"/>
    </row>
    <row r="46" spans="1:14" ht="78.75">
      <c r="A46" s="908"/>
      <c r="B46" s="908"/>
      <c r="C46" s="904"/>
      <c r="D46" s="210" t="s">
        <v>252</v>
      </c>
      <c r="E46" s="210" t="s">
        <v>251</v>
      </c>
      <c r="F46" s="210" t="s">
        <v>255</v>
      </c>
      <c r="G46" s="902"/>
      <c r="H46" s="210" t="s">
        <v>254</v>
      </c>
      <c r="I46" s="210" t="s">
        <v>253</v>
      </c>
      <c r="J46" s="902"/>
      <c r="K46" s="210" t="s">
        <v>252</v>
      </c>
      <c r="L46" s="210" t="s">
        <v>251</v>
      </c>
      <c r="M46" s="210" t="s">
        <v>250</v>
      </c>
      <c r="N46" s="196"/>
    </row>
    <row r="47" spans="1:16" ht="31.5">
      <c r="A47" s="194">
        <v>1</v>
      </c>
      <c r="B47" s="193" t="s">
        <v>249</v>
      </c>
      <c r="C47" s="191">
        <f>D47+E47+F47</f>
        <v>88934.98140891618</v>
      </c>
      <c r="D47" s="192">
        <f>D35</f>
        <v>53736.3</v>
      </c>
      <c r="E47" s="192">
        <f>E35*1.00342314872305</f>
        <v>35198.681408916185</v>
      </c>
      <c r="F47" s="192"/>
      <c r="G47" s="192">
        <v>962451.5</v>
      </c>
      <c r="H47" s="192">
        <v>941776.5</v>
      </c>
      <c r="I47" s="192">
        <v>20675</v>
      </c>
      <c r="J47" s="191">
        <f>K47+L47+M47</f>
        <v>10906.82090524701</v>
      </c>
      <c r="K47" s="192">
        <f>K35</f>
        <v>3354.1</v>
      </c>
      <c r="L47" s="192">
        <f>L35+1691.2</f>
        <v>7408.720905247011</v>
      </c>
      <c r="M47" s="192">
        <f>M35</f>
        <v>144</v>
      </c>
      <c r="N47" s="191">
        <f>C47+J47-0.1</f>
        <v>99841.70231416318</v>
      </c>
      <c r="P47" s="195"/>
    </row>
    <row r="48" spans="1:17" ht="31.5">
      <c r="A48" s="194">
        <v>2</v>
      </c>
      <c r="B48" s="193" t="s">
        <v>248</v>
      </c>
      <c r="C48" s="191">
        <f>D48+E48+F48</f>
        <v>695206.0129325519</v>
      </c>
      <c r="D48" s="192">
        <f>D36</f>
        <v>410110.6000000001</v>
      </c>
      <c r="E48" s="192">
        <f>E36*1.00342314872305</f>
        <v>280795.4129325518</v>
      </c>
      <c r="F48" s="192">
        <v>4300</v>
      </c>
      <c r="G48" s="192"/>
      <c r="H48" s="192"/>
      <c r="I48" s="192"/>
      <c r="J48" s="191">
        <f>K48+L48+M48</f>
        <v>272335.4913627254</v>
      </c>
      <c r="K48" s="192">
        <f aca="true" t="shared" si="3" ref="K48:M50">K36</f>
        <v>88085.6</v>
      </c>
      <c r="L48" s="192">
        <f>L36+70</f>
        <v>181389.3913627254</v>
      </c>
      <c r="M48" s="192">
        <f t="shared" si="3"/>
        <v>2860.5</v>
      </c>
      <c r="N48" s="191">
        <f>C48+G48+J48</f>
        <v>967541.5042952773</v>
      </c>
      <c r="Q48" s="195"/>
    </row>
    <row r="49" spans="1:14" ht="47.25">
      <c r="A49" s="194">
        <v>3</v>
      </c>
      <c r="B49" s="193" t="s">
        <v>247</v>
      </c>
      <c r="C49" s="191">
        <f>D49+E49+F49</f>
        <v>1342197.1213535354</v>
      </c>
      <c r="D49" s="192">
        <f>D37</f>
        <v>345234.2</v>
      </c>
      <c r="E49" s="192">
        <f>E37*1.00342314872305</f>
        <v>996962.9213535355</v>
      </c>
      <c r="F49" s="192"/>
      <c r="G49" s="192"/>
      <c r="H49" s="192"/>
      <c r="I49" s="192"/>
      <c r="J49" s="191">
        <f>K49+L49+M49</f>
        <v>389698.65623965266</v>
      </c>
      <c r="K49" s="192">
        <f t="shared" si="3"/>
        <v>159305.69999999998</v>
      </c>
      <c r="L49" s="192">
        <f>L37+4669.2</f>
        <v>182165.55623965262</v>
      </c>
      <c r="M49" s="192">
        <f t="shared" si="3"/>
        <v>48227.40000000001</v>
      </c>
      <c r="N49" s="221">
        <f>C49+G49+J49</f>
        <v>1731895.777593188</v>
      </c>
    </row>
    <row r="50" spans="1:14" ht="63">
      <c r="A50" s="194">
        <v>4</v>
      </c>
      <c r="B50" s="193" t="s">
        <v>246</v>
      </c>
      <c r="C50" s="191">
        <f>D50+E50+F50</f>
        <v>314840.08081576804</v>
      </c>
      <c r="D50" s="192">
        <f>D38</f>
        <v>256717.60000000003</v>
      </c>
      <c r="E50" s="192">
        <f>E38*1.00342314872305</f>
        <v>58122.480815768016</v>
      </c>
      <c r="F50" s="192"/>
      <c r="G50" s="192"/>
      <c r="H50" s="192"/>
      <c r="I50" s="192"/>
      <c r="J50" s="191">
        <f>K50+L50+M50</f>
        <v>872346.5385012962</v>
      </c>
      <c r="K50" s="192">
        <f t="shared" si="3"/>
        <v>444442.4</v>
      </c>
      <c r="L50" s="192">
        <f>L38+16-6430.5</f>
        <v>418589.3385012962</v>
      </c>
      <c r="M50" s="192">
        <f t="shared" si="3"/>
        <v>9314.8</v>
      </c>
      <c r="N50" s="221">
        <f>C50+G50+J50</f>
        <v>1187186.6193170643</v>
      </c>
    </row>
    <row r="51" spans="1:14" ht="15.75">
      <c r="A51" s="906" t="s">
        <v>245</v>
      </c>
      <c r="B51" s="906"/>
      <c r="C51" s="191">
        <f aca="true" t="shared" si="4" ref="C51:N51">SUM(C47:C50)</f>
        <v>2441178.1965107713</v>
      </c>
      <c r="D51" s="191">
        <f t="shared" si="4"/>
        <v>1065798.7000000002</v>
      </c>
      <c r="E51" s="191">
        <f t="shared" si="4"/>
        <v>1371079.4965107716</v>
      </c>
      <c r="F51" s="191">
        <f t="shared" si="4"/>
        <v>4300</v>
      </c>
      <c r="G51" s="191">
        <f t="shared" si="4"/>
        <v>962451.5</v>
      </c>
      <c r="H51" s="191">
        <f t="shared" si="4"/>
        <v>941776.5</v>
      </c>
      <c r="I51" s="191">
        <f t="shared" si="4"/>
        <v>20675</v>
      </c>
      <c r="J51" s="191">
        <f t="shared" si="4"/>
        <v>1545287.5070089214</v>
      </c>
      <c r="K51" s="191">
        <f t="shared" si="4"/>
        <v>695187.8</v>
      </c>
      <c r="L51" s="191">
        <f t="shared" si="4"/>
        <v>789553.0070089211</v>
      </c>
      <c r="M51" s="191">
        <f t="shared" si="4"/>
        <v>60546.70000000001</v>
      </c>
      <c r="N51" s="191">
        <f t="shared" si="4"/>
        <v>3986465.603519693</v>
      </c>
    </row>
    <row r="52" spans="2:13" ht="15.7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188"/>
    </row>
    <row r="53" spans="3:12" ht="15.75">
      <c r="C53" s="525"/>
      <c r="E53" s="195"/>
      <c r="J53" s="525"/>
      <c r="L53" s="195"/>
    </row>
    <row r="54" ht="15.75">
      <c r="J54" s="195"/>
    </row>
    <row r="59" spans="2:8" ht="15.75">
      <c r="B59" s="212"/>
      <c r="C59" s="212"/>
      <c r="D59" s="212"/>
      <c r="E59" s="212"/>
      <c r="F59" s="212"/>
      <c r="G59" s="212"/>
      <c r="H59" s="212"/>
    </row>
    <row r="60" spans="2:8" ht="15.75">
      <c r="B60" s="916"/>
      <c r="C60" s="916"/>
      <c r="D60" s="916"/>
      <c r="E60" s="916"/>
      <c r="F60" s="917"/>
      <c r="G60" s="917"/>
      <c r="H60" s="917"/>
    </row>
    <row r="61" spans="2:8" ht="15.75">
      <c r="B61" s="916"/>
      <c r="C61" s="916"/>
      <c r="D61" s="916"/>
      <c r="E61" s="916"/>
      <c r="F61" s="917"/>
      <c r="G61" s="917"/>
      <c r="H61" s="917"/>
    </row>
    <row r="62" spans="2:8" ht="15.75">
      <c r="B62" s="916"/>
      <c r="C62" s="916"/>
      <c r="D62" s="916"/>
      <c r="E62" s="916"/>
      <c r="F62" s="918"/>
      <c r="G62" s="918"/>
      <c r="H62" s="918"/>
    </row>
    <row r="63" spans="2:8" ht="15.75">
      <c r="B63" s="916"/>
      <c r="C63" s="916"/>
      <c r="D63" s="916"/>
      <c r="E63" s="916"/>
      <c r="F63" s="918"/>
      <c r="G63" s="918"/>
      <c r="H63" s="918"/>
    </row>
  </sheetData>
  <sheetProtection/>
  <mergeCells count="61">
    <mergeCell ref="J44:M44"/>
    <mergeCell ref="C45:C46"/>
    <mergeCell ref="D45:F45"/>
    <mergeCell ref="G45:G46"/>
    <mergeCell ref="H45:I45"/>
    <mergeCell ref="J45:J46"/>
    <mergeCell ref="K45:M45"/>
    <mergeCell ref="B60:H60"/>
    <mergeCell ref="B61:H61"/>
    <mergeCell ref="B62:H62"/>
    <mergeCell ref="B63:H63"/>
    <mergeCell ref="B43:H43"/>
    <mergeCell ref="A51:B51"/>
    <mergeCell ref="A44:A46"/>
    <mergeCell ref="B44:B46"/>
    <mergeCell ref="C44:E44"/>
    <mergeCell ref="G44:I44"/>
    <mergeCell ref="J1:N1"/>
    <mergeCell ref="H8:I8"/>
    <mergeCell ref="A7:A9"/>
    <mergeCell ref="B7:B9"/>
    <mergeCell ref="J7:M7"/>
    <mergeCell ref="J2:N2"/>
    <mergeCell ref="J3:N3"/>
    <mergeCell ref="K8:M8"/>
    <mergeCell ref="G7:I7"/>
    <mergeCell ref="C7:E7"/>
    <mergeCell ref="J8:J9"/>
    <mergeCell ref="G8:G9"/>
    <mergeCell ref="D8:F8"/>
    <mergeCell ref="A4:N4"/>
    <mergeCell ref="A5:N5"/>
    <mergeCell ref="C19:E19"/>
    <mergeCell ref="J19:M19"/>
    <mergeCell ref="C8:C9"/>
    <mergeCell ref="A19:A21"/>
    <mergeCell ref="C20:C21"/>
    <mergeCell ref="B18:H18"/>
    <mergeCell ref="G19:I19"/>
    <mergeCell ref="A14:B14"/>
    <mergeCell ref="D20:F20"/>
    <mergeCell ref="B15:L15"/>
    <mergeCell ref="H20:I20"/>
    <mergeCell ref="K20:M20"/>
    <mergeCell ref="G20:G21"/>
    <mergeCell ref="A39:B39"/>
    <mergeCell ref="J32:M32"/>
    <mergeCell ref="G33:G34"/>
    <mergeCell ref="J33:J34"/>
    <mergeCell ref="J20:J21"/>
    <mergeCell ref="K33:M33"/>
    <mergeCell ref="A32:A34"/>
    <mergeCell ref="B32:B34"/>
    <mergeCell ref="C32:E32"/>
    <mergeCell ref="G32:I32"/>
    <mergeCell ref="C33:C34"/>
    <mergeCell ref="H33:I33"/>
    <mergeCell ref="D33:F33"/>
    <mergeCell ref="A26:B26"/>
    <mergeCell ref="B31:H31"/>
    <mergeCell ref="B19:B21"/>
  </mergeCells>
  <printOptions/>
  <pageMargins left="1.1811023622047245" right="0.7874015748031497" top="0.7874015748031497" bottom="0.7874015748031497" header="0.31496062992125984" footer="0.11811023622047245"/>
  <pageSetup fitToHeight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H279"/>
  <sheetViews>
    <sheetView zoomScaleSheetLayoutView="100" zoomScalePageLayoutView="0" workbookViewId="0" topLeftCell="A263">
      <selection activeCell="A265" sqref="A265:M272"/>
    </sheetView>
  </sheetViews>
  <sheetFormatPr defaultColWidth="9.140625" defaultRowHeight="12.75"/>
  <cols>
    <col min="1" max="1" width="25.57421875" style="256" customWidth="1"/>
    <col min="2" max="2" width="11.28125" style="256" bestFit="1" customWidth="1"/>
    <col min="3" max="3" width="11.57421875" style="256" customWidth="1"/>
    <col min="4" max="4" width="11.28125" style="256" customWidth="1"/>
    <col min="5" max="5" width="11.57421875" style="256" customWidth="1"/>
    <col min="6" max="6" width="11.00390625" style="256" customWidth="1"/>
    <col min="7" max="7" width="11.8515625" style="256" customWidth="1"/>
    <col min="8" max="8" width="12.421875" style="256" customWidth="1"/>
    <col min="9" max="9" width="12.00390625" style="256" customWidth="1"/>
    <col min="10" max="10" width="12.8515625" style="256" customWidth="1"/>
    <col min="11" max="11" width="12.28125" style="256" customWidth="1"/>
    <col min="12" max="12" width="12.140625" style="256" customWidth="1"/>
    <col min="13" max="13" width="20.8515625" style="256" customWidth="1"/>
    <col min="14" max="16384" width="9.140625" style="256" customWidth="1"/>
  </cols>
  <sheetData>
    <row r="1" ht="15" customHeight="1">
      <c r="J1" s="604" t="s">
        <v>530</v>
      </c>
    </row>
    <row r="2" spans="9:12" ht="9.75" customHeight="1">
      <c r="I2" s="919" t="s">
        <v>531</v>
      </c>
      <c r="J2" s="919"/>
      <c r="K2" s="919"/>
      <c r="L2" s="919"/>
    </row>
    <row r="3" spans="1:13" ht="9.75" customHeight="1">
      <c r="A3" s="547"/>
      <c r="B3" s="548"/>
      <c r="C3" s="548"/>
      <c r="D3" s="548"/>
      <c r="E3" s="548"/>
      <c r="F3" s="548"/>
      <c r="G3" s="548"/>
      <c r="H3" s="985" t="s">
        <v>271</v>
      </c>
      <c r="I3" s="985"/>
      <c r="J3" s="985"/>
      <c r="K3" s="985"/>
      <c r="L3" s="985"/>
      <c r="M3" s="985"/>
    </row>
    <row r="4" spans="1:13" ht="9.75" customHeight="1">
      <c r="A4" s="549"/>
      <c r="B4" s="548"/>
      <c r="C4" s="548"/>
      <c r="D4" s="548"/>
      <c r="E4" s="548"/>
      <c r="F4" s="548"/>
      <c r="G4" s="548"/>
      <c r="H4" s="985" t="s">
        <v>270</v>
      </c>
      <c r="I4" s="985"/>
      <c r="J4" s="985"/>
      <c r="K4" s="985"/>
      <c r="L4" s="985"/>
      <c r="M4" s="985"/>
    </row>
    <row r="5" spans="1:13" ht="15.75" customHeight="1">
      <c r="A5" s="549"/>
      <c r="B5" s="548"/>
      <c r="C5" s="548"/>
      <c r="D5" s="548"/>
      <c r="E5" s="548"/>
      <c r="F5" s="548"/>
      <c r="G5" s="548"/>
      <c r="H5" s="986"/>
      <c r="I5" s="986"/>
      <c r="J5" s="986"/>
      <c r="K5" s="986"/>
      <c r="L5" s="986"/>
      <c r="M5" s="986"/>
    </row>
    <row r="6" spans="1:13" ht="20.25" customHeight="1">
      <c r="A6" s="948" t="s">
        <v>315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</row>
    <row r="7" spans="1:13" ht="1.5" customHeight="1" thickBot="1">
      <c r="A7" s="548"/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</row>
    <row r="8" spans="1:13" ht="24" customHeight="1" thickBot="1">
      <c r="A8" s="550" t="s">
        <v>303</v>
      </c>
      <c r="B8" s="921" t="s">
        <v>302</v>
      </c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548"/>
    </row>
    <row r="9" spans="1:13" ht="20.25" customHeight="1" thickBot="1">
      <c r="A9" s="551" t="s">
        <v>301</v>
      </c>
      <c r="B9" s="921" t="s">
        <v>367</v>
      </c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548"/>
    </row>
    <row r="10" spans="1:13" ht="20.25" customHeight="1" thickBot="1">
      <c r="A10" s="551" t="s">
        <v>299</v>
      </c>
      <c r="B10" s="923" t="s">
        <v>391</v>
      </c>
      <c r="C10" s="924"/>
      <c r="D10" s="924"/>
      <c r="E10" s="924"/>
      <c r="F10" s="924"/>
      <c r="G10" s="924"/>
      <c r="H10" s="924"/>
      <c r="I10" s="924"/>
      <c r="J10" s="924"/>
      <c r="K10" s="924"/>
      <c r="L10" s="924"/>
      <c r="M10" s="548"/>
    </row>
    <row r="11" spans="1:13" ht="29.25" customHeight="1" thickBot="1">
      <c r="A11" s="552" t="s">
        <v>297</v>
      </c>
      <c r="B11" s="922" t="s">
        <v>24</v>
      </c>
      <c r="C11" s="922"/>
      <c r="D11" s="922"/>
      <c r="E11" s="922"/>
      <c r="F11" s="922"/>
      <c r="G11" s="922"/>
      <c r="H11" s="922"/>
      <c r="I11" s="922"/>
      <c r="J11" s="922"/>
      <c r="K11" s="922"/>
      <c r="L11" s="921"/>
      <c r="M11" s="548"/>
    </row>
    <row r="12" spans="1:13" ht="32.25" customHeight="1" thickBot="1">
      <c r="A12" s="551" t="s">
        <v>295</v>
      </c>
      <c r="B12" s="553" t="s">
        <v>294</v>
      </c>
      <c r="C12" s="920" t="s">
        <v>293</v>
      </c>
      <c r="D12" s="921"/>
      <c r="E12" s="554"/>
      <c r="F12" s="920" t="s">
        <v>292</v>
      </c>
      <c r="G12" s="922"/>
      <c r="H12" s="922"/>
      <c r="I12" s="921"/>
      <c r="J12" s="922" t="s">
        <v>291</v>
      </c>
      <c r="K12" s="922"/>
      <c r="L12" s="922"/>
      <c r="M12" s="548"/>
    </row>
    <row r="13" spans="1:13" ht="64.5" customHeight="1" thickBot="1">
      <c r="A13" s="551" t="s">
        <v>290</v>
      </c>
      <c r="B13" s="931" t="s">
        <v>390</v>
      </c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548"/>
    </row>
    <row r="14" spans="1:13" ht="26.25" thickBot="1">
      <c r="A14" s="551" t="s">
        <v>288</v>
      </c>
      <c r="B14" s="930" t="s">
        <v>389</v>
      </c>
      <c r="C14" s="925"/>
      <c r="D14" s="925"/>
      <c r="E14" s="925"/>
      <c r="F14" s="925"/>
      <c r="G14" s="925"/>
      <c r="H14" s="925"/>
      <c r="I14" s="925"/>
      <c r="J14" s="925"/>
      <c r="K14" s="925"/>
      <c r="L14" s="925"/>
      <c r="M14" s="548"/>
    </row>
    <row r="15" spans="1:13" ht="0.75" customHeight="1">
      <c r="A15" s="548"/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</row>
    <row r="16" spans="1:13" ht="20.25" customHeight="1">
      <c r="A16" s="555" t="s">
        <v>286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</row>
    <row r="17" spans="1:13" ht="18.75" customHeight="1" thickBot="1">
      <c r="A17" s="392" t="s">
        <v>283</v>
      </c>
      <c r="B17" s="548" t="s">
        <v>35</v>
      </c>
      <c r="C17" s="548"/>
      <c r="D17" s="548"/>
      <c r="E17" s="548"/>
      <c r="F17" s="548"/>
      <c r="G17" s="548"/>
      <c r="H17" s="548"/>
      <c r="I17" s="548"/>
      <c r="J17" s="548"/>
      <c r="K17" s="548"/>
      <c r="L17" s="556" t="s">
        <v>285</v>
      </c>
      <c r="M17" s="548"/>
    </row>
    <row r="18" spans="1:13" ht="27.75" customHeight="1">
      <c r="A18" s="933" t="s">
        <v>278</v>
      </c>
      <c r="B18" s="926" t="s">
        <v>262</v>
      </c>
      <c r="C18" s="927"/>
      <c r="D18" s="927"/>
      <c r="E18" s="557"/>
      <c r="F18" s="929" t="s">
        <v>261</v>
      </c>
      <c r="G18" s="929"/>
      <c r="H18" s="929"/>
      <c r="I18" s="926" t="s">
        <v>260</v>
      </c>
      <c r="J18" s="927"/>
      <c r="K18" s="927"/>
      <c r="L18" s="928"/>
      <c r="M18" s="558" t="s">
        <v>259</v>
      </c>
    </row>
    <row r="19" spans="1:13" ht="13.5" customHeight="1">
      <c r="A19" s="934"/>
      <c r="B19" s="936" t="s">
        <v>258</v>
      </c>
      <c r="C19" s="926" t="s">
        <v>256</v>
      </c>
      <c r="D19" s="927"/>
      <c r="E19" s="928"/>
      <c r="F19" s="936" t="s">
        <v>257</v>
      </c>
      <c r="G19" s="926" t="s">
        <v>256</v>
      </c>
      <c r="H19" s="943"/>
      <c r="I19" s="936" t="s">
        <v>257</v>
      </c>
      <c r="J19" s="967" t="s">
        <v>256</v>
      </c>
      <c r="K19" s="968"/>
      <c r="L19" s="969"/>
      <c r="M19" s="559"/>
    </row>
    <row r="20" spans="1:13" ht="64.5" thickBot="1">
      <c r="A20" s="935"/>
      <c r="B20" s="937"/>
      <c r="C20" s="560" t="s">
        <v>252</v>
      </c>
      <c r="D20" s="560" t="s">
        <v>277</v>
      </c>
      <c r="E20" s="560" t="s">
        <v>276</v>
      </c>
      <c r="F20" s="938"/>
      <c r="G20" s="560" t="s">
        <v>275</v>
      </c>
      <c r="H20" s="560" t="s">
        <v>253</v>
      </c>
      <c r="I20" s="938"/>
      <c r="J20" s="560" t="s">
        <v>252</v>
      </c>
      <c r="K20" s="560" t="s">
        <v>251</v>
      </c>
      <c r="L20" s="560" t="s">
        <v>274</v>
      </c>
      <c r="M20" s="561"/>
    </row>
    <row r="21" spans="1:13" ht="15.75">
      <c r="A21" s="560" t="s">
        <v>19</v>
      </c>
      <c r="B21" s="562">
        <f>C21+D21+E21</f>
        <v>4191</v>
      </c>
      <c r="C21" s="563">
        <v>4191</v>
      </c>
      <c r="D21" s="563"/>
      <c r="E21" s="563"/>
      <c r="F21" s="563"/>
      <c r="G21" s="563"/>
      <c r="H21" s="563"/>
      <c r="I21" s="562">
        <f>J21+K21+L21</f>
        <v>0</v>
      </c>
      <c r="J21" s="563"/>
      <c r="K21" s="563"/>
      <c r="L21" s="561"/>
      <c r="M21" s="564">
        <f>B21+F21+I21</f>
        <v>4191</v>
      </c>
    </row>
    <row r="22" spans="1:13" ht="15.75">
      <c r="A22" s="560" t="s">
        <v>20</v>
      </c>
      <c r="B22" s="562">
        <f>C22+D22+E22</f>
        <v>4191</v>
      </c>
      <c r="C22" s="563">
        <v>4191</v>
      </c>
      <c r="D22" s="563"/>
      <c r="E22" s="563"/>
      <c r="F22" s="563"/>
      <c r="G22" s="563"/>
      <c r="H22" s="563"/>
      <c r="I22" s="562">
        <f>J22+K22+L22</f>
        <v>0</v>
      </c>
      <c r="J22" s="563"/>
      <c r="K22" s="563"/>
      <c r="L22" s="561"/>
      <c r="M22" s="564">
        <f>B22+F22+I22</f>
        <v>4191</v>
      </c>
    </row>
    <row r="23" spans="1:13" ht="15.75">
      <c r="A23" s="560" t="s">
        <v>21</v>
      </c>
      <c r="B23" s="562">
        <f>C23+D23+E23</f>
        <v>4400.6</v>
      </c>
      <c r="C23" s="563">
        <f>C22</f>
        <v>4191</v>
      </c>
      <c r="D23" s="563">
        <v>209.6</v>
      </c>
      <c r="E23" s="563"/>
      <c r="F23" s="563"/>
      <c r="G23" s="563"/>
      <c r="H23" s="563"/>
      <c r="I23" s="562">
        <f>J23+K23+L23</f>
        <v>0</v>
      </c>
      <c r="J23" s="563"/>
      <c r="K23" s="563"/>
      <c r="L23" s="561"/>
      <c r="M23" s="564">
        <f>B23+F23+I23</f>
        <v>4400.6</v>
      </c>
    </row>
    <row r="24" spans="1:13" ht="24" customHeight="1">
      <c r="A24" s="548"/>
      <c r="B24" s="565"/>
      <c r="C24" s="566"/>
      <c r="D24" s="565"/>
      <c r="E24" s="565"/>
      <c r="F24" s="565"/>
      <c r="G24" s="565"/>
      <c r="H24" s="565"/>
      <c r="I24" s="565"/>
      <c r="J24" s="565"/>
      <c r="K24" s="565"/>
      <c r="L24" s="565"/>
      <c r="M24" s="548"/>
    </row>
    <row r="25" spans="1:13" ht="15.75">
      <c r="A25" s="392" t="s">
        <v>284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</row>
    <row r="26" spans="1:13" ht="22.5" customHeight="1" thickBot="1">
      <c r="A26" s="392" t="s">
        <v>283</v>
      </c>
      <c r="B26" s="548" t="s">
        <v>35</v>
      </c>
      <c r="C26" s="567"/>
      <c r="D26" s="567"/>
      <c r="E26" s="548"/>
      <c r="F26" s="548"/>
      <c r="G26" s="548"/>
      <c r="H26" s="548"/>
      <c r="I26" s="548"/>
      <c r="J26" s="548"/>
      <c r="K26" s="548"/>
      <c r="L26" s="548"/>
      <c r="M26" s="548"/>
    </row>
    <row r="27" spans="1:13" ht="15.75" customHeight="1" thickBot="1">
      <c r="A27" s="933" t="s">
        <v>282</v>
      </c>
      <c r="B27" s="940" t="s">
        <v>281</v>
      </c>
      <c r="C27" s="941"/>
      <c r="D27" s="942"/>
      <c r="E27" s="933" t="s">
        <v>69</v>
      </c>
      <c r="F27" s="568"/>
      <c r="G27" s="972" t="s">
        <v>15</v>
      </c>
      <c r="H27" s="973"/>
      <c r="I27" s="973"/>
      <c r="J27" s="974"/>
      <c r="K27" s="548"/>
      <c r="L27" s="548"/>
      <c r="M27" s="548"/>
    </row>
    <row r="28" spans="1:13" ht="16.5" thickBot="1">
      <c r="A28" s="934"/>
      <c r="B28" s="950"/>
      <c r="C28" s="951"/>
      <c r="D28" s="952"/>
      <c r="E28" s="935"/>
      <c r="F28" s="569" t="s">
        <v>17</v>
      </c>
      <c r="G28" s="569" t="s">
        <v>18</v>
      </c>
      <c r="H28" s="569" t="s">
        <v>19</v>
      </c>
      <c r="I28" s="569" t="s">
        <v>20</v>
      </c>
      <c r="J28" s="569" t="s">
        <v>21</v>
      </c>
      <c r="K28" s="548"/>
      <c r="L28" s="548"/>
      <c r="M28" s="548"/>
    </row>
    <row r="29" spans="1:13" ht="15.75">
      <c r="A29" s="570" t="s">
        <v>37</v>
      </c>
      <c r="B29" s="929" t="s">
        <v>388</v>
      </c>
      <c r="C29" s="929"/>
      <c r="D29" s="929"/>
      <c r="E29" s="341" t="s">
        <v>38</v>
      </c>
      <c r="F29" s="341">
        <v>15.5</v>
      </c>
      <c r="G29" s="341">
        <v>15.5</v>
      </c>
      <c r="H29" s="341">
        <v>15.5</v>
      </c>
      <c r="I29" s="341">
        <v>15.5</v>
      </c>
      <c r="J29" s="341">
        <v>15.5</v>
      </c>
      <c r="K29" s="548"/>
      <c r="L29" s="548"/>
      <c r="M29" s="548"/>
    </row>
    <row r="30" spans="1:13" ht="15.75">
      <c r="A30" s="548"/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</row>
    <row r="31" spans="1:13" ht="20.25" customHeight="1">
      <c r="A31" s="948" t="s">
        <v>315</v>
      </c>
      <c r="B31" s="949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</row>
    <row r="32" spans="1:13" ht="1.5" customHeight="1" thickBot="1">
      <c r="A32" s="548"/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</row>
    <row r="33" spans="1:13" ht="24" customHeight="1" thickBot="1">
      <c r="A33" s="550" t="s">
        <v>303</v>
      </c>
      <c r="B33" s="921" t="s">
        <v>302</v>
      </c>
      <c r="C33" s="925"/>
      <c r="D33" s="925"/>
      <c r="E33" s="925"/>
      <c r="F33" s="925"/>
      <c r="G33" s="925"/>
      <c r="H33" s="925"/>
      <c r="I33" s="925"/>
      <c r="J33" s="925"/>
      <c r="K33" s="925"/>
      <c r="L33" s="925"/>
      <c r="M33" s="548"/>
    </row>
    <row r="34" spans="1:13" ht="20.25" customHeight="1" thickBot="1">
      <c r="A34" s="551" t="s">
        <v>301</v>
      </c>
      <c r="B34" s="921" t="s">
        <v>367</v>
      </c>
      <c r="C34" s="925"/>
      <c r="D34" s="925"/>
      <c r="E34" s="925"/>
      <c r="F34" s="925"/>
      <c r="G34" s="925"/>
      <c r="H34" s="925"/>
      <c r="I34" s="925"/>
      <c r="J34" s="925"/>
      <c r="K34" s="925"/>
      <c r="L34" s="925"/>
      <c r="M34" s="548"/>
    </row>
    <row r="35" spans="1:13" ht="20.25" customHeight="1" thickBot="1">
      <c r="A35" s="551" t="s">
        <v>299</v>
      </c>
      <c r="B35" s="923" t="s">
        <v>387</v>
      </c>
      <c r="C35" s="924"/>
      <c r="D35" s="924"/>
      <c r="E35" s="924"/>
      <c r="F35" s="924"/>
      <c r="G35" s="924"/>
      <c r="H35" s="924"/>
      <c r="I35" s="924"/>
      <c r="J35" s="924"/>
      <c r="K35" s="924"/>
      <c r="L35" s="924"/>
      <c r="M35" s="548"/>
    </row>
    <row r="36" spans="1:13" ht="29.25" customHeight="1" thickBot="1">
      <c r="A36" s="552" t="s">
        <v>297</v>
      </c>
      <c r="B36" s="922" t="s">
        <v>40</v>
      </c>
      <c r="C36" s="922"/>
      <c r="D36" s="922"/>
      <c r="E36" s="922"/>
      <c r="F36" s="922"/>
      <c r="G36" s="922"/>
      <c r="H36" s="922"/>
      <c r="I36" s="922"/>
      <c r="J36" s="922"/>
      <c r="K36" s="922"/>
      <c r="L36" s="921"/>
      <c r="M36" s="548"/>
    </row>
    <row r="37" spans="1:13" ht="32.25" customHeight="1" thickBot="1">
      <c r="A37" s="551" t="s">
        <v>295</v>
      </c>
      <c r="B37" s="553" t="s">
        <v>294</v>
      </c>
      <c r="C37" s="920" t="s">
        <v>293</v>
      </c>
      <c r="D37" s="921"/>
      <c r="E37" s="554"/>
      <c r="F37" s="920" t="s">
        <v>292</v>
      </c>
      <c r="G37" s="922"/>
      <c r="H37" s="922"/>
      <c r="I37" s="921"/>
      <c r="J37" s="920" t="s">
        <v>291</v>
      </c>
      <c r="K37" s="922"/>
      <c r="L37" s="921"/>
      <c r="M37" s="548"/>
    </row>
    <row r="38" spans="1:13" ht="64.5" customHeight="1" thickBot="1">
      <c r="A38" s="551" t="s">
        <v>290</v>
      </c>
      <c r="B38" s="931" t="s">
        <v>386</v>
      </c>
      <c r="C38" s="932"/>
      <c r="D38" s="932"/>
      <c r="E38" s="932"/>
      <c r="F38" s="932"/>
      <c r="G38" s="932"/>
      <c r="H38" s="932"/>
      <c r="I38" s="932"/>
      <c r="J38" s="932"/>
      <c r="K38" s="932"/>
      <c r="L38" s="932"/>
      <c r="M38" s="548"/>
    </row>
    <row r="39" spans="1:13" ht="26.25" thickBot="1">
      <c r="A39" s="551" t="s">
        <v>288</v>
      </c>
      <c r="B39" s="930" t="s">
        <v>385</v>
      </c>
      <c r="C39" s="925"/>
      <c r="D39" s="925"/>
      <c r="E39" s="925"/>
      <c r="F39" s="925"/>
      <c r="G39" s="925"/>
      <c r="H39" s="925"/>
      <c r="I39" s="925"/>
      <c r="J39" s="925"/>
      <c r="K39" s="925"/>
      <c r="L39" s="925"/>
      <c r="M39" s="548"/>
    </row>
    <row r="40" spans="1:13" ht="0.75" customHeight="1">
      <c r="A40" s="548"/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</row>
    <row r="41" spans="1:13" ht="20.25" customHeight="1">
      <c r="A41" s="555" t="s">
        <v>286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</row>
    <row r="42" spans="1:13" ht="18.75" customHeight="1" thickBot="1">
      <c r="A42" s="392" t="s">
        <v>283</v>
      </c>
      <c r="B42" s="548" t="s">
        <v>39</v>
      </c>
      <c r="C42" s="548"/>
      <c r="D42" s="548"/>
      <c r="E42" s="548"/>
      <c r="F42" s="548"/>
      <c r="G42" s="548"/>
      <c r="H42" s="548"/>
      <c r="I42" s="548"/>
      <c r="J42" s="548"/>
      <c r="K42" s="548"/>
      <c r="L42" s="556" t="s">
        <v>285</v>
      </c>
      <c r="M42" s="548"/>
    </row>
    <row r="43" spans="1:13" ht="27.75" customHeight="1">
      <c r="A43" s="933" t="s">
        <v>278</v>
      </c>
      <c r="B43" s="926" t="s">
        <v>262</v>
      </c>
      <c r="C43" s="927"/>
      <c r="D43" s="927"/>
      <c r="E43" s="557"/>
      <c r="F43" s="929" t="s">
        <v>261</v>
      </c>
      <c r="G43" s="929"/>
      <c r="H43" s="929"/>
      <c r="I43" s="926" t="s">
        <v>260</v>
      </c>
      <c r="J43" s="927"/>
      <c r="K43" s="927"/>
      <c r="L43" s="928"/>
      <c r="M43" s="558" t="s">
        <v>259</v>
      </c>
    </row>
    <row r="44" spans="1:13" ht="13.5" customHeight="1">
      <c r="A44" s="934"/>
      <c r="B44" s="936" t="s">
        <v>258</v>
      </c>
      <c r="C44" s="926" t="s">
        <v>256</v>
      </c>
      <c r="D44" s="927"/>
      <c r="E44" s="928"/>
      <c r="F44" s="936" t="s">
        <v>257</v>
      </c>
      <c r="G44" s="926" t="s">
        <v>256</v>
      </c>
      <c r="H44" s="943"/>
      <c r="I44" s="936" t="s">
        <v>257</v>
      </c>
      <c r="J44" s="967" t="s">
        <v>256</v>
      </c>
      <c r="K44" s="968"/>
      <c r="L44" s="969"/>
      <c r="M44" s="559"/>
    </row>
    <row r="45" spans="1:13" ht="64.5" thickBot="1">
      <c r="A45" s="935"/>
      <c r="B45" s="937"/>
      <c r="C45" s="560" t="s">
        <v>252</v>
      </c>
      <c r="D45" s="560" t="s">
        <v>277</v>
      </c>
      <c r="E45" s="560" t="s">
        <v>276</v>
      </c>
      <c r="F45" s="938"/>
      <c r="G45" s="560" t="s">
        <v>275</v>
      </c>
      <c r="H45" s="560" t="s">
        <v>253</v>
      </c>
      <c r="I45" s="938"/>
      <c r="J45" s="560" t="s">
        <v>252</v>
      </c>
      <c r="K45" s="560" t="s">
        <v>251</v>
      </c>
      <c r="L45" s="560" t="s">
        <v>274</v>
      </c>
      <c r="M45" s="561"/>
    </row>
    <row r="46" spans="1:13" ht="15.75">
      <c r="A46" s="560" t="s">
        <v>19</v>
      </c>
      <c r="B46" s="562">
        <f>C46+D46+E46</f>
        <v>3745.5</v>
      </c>
      <c r="C46" s="563">
        <v>3745.5</v>
      </c>
      <c r="D46" s="563"/>
      <c r="E46" s="563"/>
      <c r="F46" s="563"/>
      <c r="G46" s="563"/>
      <c r="H46" s="563"/>
      <c r="I46" s="562">
        <f>J46+K46+L46</f>
        <v>0</v>
      </c>
      <c r="J46" s="563"/>
      <c r="K46" s="563"/>
      <c r="L46" s="561"/>
      <c r="M46" s="564">
        <f>B46+F46+I46</f>
        <v>3745.5</v>
      </c>
    </row>
    <row r="47" spans="1:13" ht="15.75">
      <c r="A47" s="560" t="s">
        <v>20</v>
      </c>
      <c r="B47" s="562">
        <f>C47+D47+E47</f>
        <v>3745.5</v>
      </c>
      <c r="C47" s="563">
        <v>3745.5</v>
      </c>
      <c r="D47" s="563"/>
      <c r="E47" s="563"/>
      <c r="F47" s="563"/>
      <c r="G47" s="563"/>
      <c r="H47" s="563"/>
      <c r="I47" s="562">
        <f>J47+K47+L47</f>
        <v>0</v>
      </c>
      <c r="J47" s="563"/>
      <c r="K47" s="563"/>
      <c r="L47" s="561"/>
      <c r="M47" s="564">
        <f>B47+F47+I47</f>
        <v>3745.5</v>
      </c>
    </row>
    <row r="48" spans="1:13" ht="18.75" customHeight="1">
      <c r="A48" s="560" t="s">
        <v>490</v>
      </c>
      <c r="B48" s="562">
        <f>C48+D48+E48</f>
        <v>3745.5</v>
      </c>
      <c r="C48" s="563">
        <v>3745.5</v>
      </c>
      <c r="D48" s="560"/>
      <c r="E48" s="560"/>
      <c r="F48" s="560"/>
      <c r="G48" s="560"/>
      <c r="H48" s="560"/>
      <c r="I48" s="562">
        <f>J48+K48+L48</f>
        <v>0</v>
      </c>
      <c r="J48" s="560"/>
      <c r="K48" s="560"/>
      <c r="L48" s="560"/>
      <c r="M48" s="564">
        <f>B48+F48+I48</f>
        <v>3745.5</v>
      </c>
    </row>
    <row r="49" spans="1:13" ht="15.75">
      <c r="A49" s="392"/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</row>
    <row r="50" spans="1:13" ht="15.75">
      <c r="A50" s="392" t="s">
        <v>284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</row>
    <row r="51" spans="1:13" ht="16.5" thickBot="1">
      <c r="A51" s="392" t="s">
        <v>283</v>
      </c>
      <c r="B51" s="548" t="s">
        <v>35</v>
      </c>
      <c r="C51" s="567"/>
      <c r="D51" s="567"/>
      <c r="E51" s="548"/>
      <c r="F51" s="548"/>
      <c r="G51" s="548"/>
      <c r="H51" s="548"/>
      <c r="I51" s="548"/>
      <c r="J51" s="548"/>
      <c r="K51" s="548"/>
      <c r="L51" s="548"/>
      <c r="M51" s="548"/>
    </row>
    <row r="52" spans="1:13" ht="15.75" customHeight="1">
      <c r="A52" s="933" t="s">
        <v>282</v>
      </c>
      <c r="B52" s="940" t="s">
        <v>281</v>
      </c>
      <c r="C52" s="941"/>
      <c r="D52" s="942"/>
      <c r="E52" s="933" t="s">
        <v>69</v>
      </c>
      <c r="F52" s="940" t="s">
        <v>15</v>
      </c>
      <c r="G52" s="941"/>
      <c r="H52" s="941"/>
      <c r="I52" s="571"/>
      <c r="J52" s="572"/>
      <c r="K52" s="548"/>
      <c r="L52" s="548"/>
      <c r="M52" s="548"/>
    </row>
    <row r="53" spans="1:13" ht="16.5" thickBot="1">
      <c r="A53" s="934"/>
      <c r="B53" s="950"/>
      <c r="C53" s="951"/>
      <c r="D53" s="952"/>
      <c r="E53" s="953"/>
      <c r="F53" s="560">
        <v>2018</v>
      </c>
      <c r="G53" s="560">
        <v>2019</v>
      </c>
      <c r="H53" s="560">
        <v>2020</v>
      </c>
      <c r="I53" s="560">
        <v>2021</v>
      </c>
      <c r="J53" s="573">
        <v>2022</v>
      </c>
      <c r="K53" s="548"/>
      <c r="L53" s="548"/>
      <c r="M53" s="548"/>
    </row>
    <row r="54" spans="1:13" ht="38.25">
      <c r="A54" s="339" t="s">
        <v>42</v>
      </c>
      <c r="B54" s="929" t="s">
        <v>384</v>
      </c>
      <c r="C54" s="929"/>
      <c r="D54" s="929"/>
      <c r="E54" s="341" t="s">
        <v>38</v>
      </c>
      <c r="F54" s="574">
        <v>13.1</v>
      </c>
      <c r="G54" s="574">
        <v>13.1</v>
      </c>
      <c r="H54" s="575" t="s">
        <v>44</v>
      </c>
      <c r="I54" s="575" t="s">
        <v>44</v>
      </c>
      <c r="J54" s="576" t="s">
        <v>44</v>
      </c>
      <c r="K54" s="548"/>
      <c r="L54" s="548"/>
      <c r="M54" s="548"/>
    </row>
    <row r="55" spans="1:13" ht="15.75">
      <c r="A55" s="339" t="s">
        <v>45</v>
      </c>
      <c r="B55" s="929" t="s">
        <v>384</v>
      </c>
      <c r="C55" s="929"/>
      <c r="D55" s="929"/>
      <c r="E55" s="339"/>
      <c r="F55" s="574">
        <v>4.6</v>
      </c>
      <c r="G55" s="574" t="s">
        <v>529</v>
      </c>
      <c r="H55" s="574" t="s">
        <v>529</v>
      </c>
      <c r="I55" s="574" t="s">
        <v>529</v>
      </c>
      <c r="J55" s="574" t="s">
        <v>529</v>
      </c>
      <c r="K55" s="548"/>
      <c r="L55" s="548"/>
      <c r="M55" s="548"/>
    </row>
    <row r="56" spans="1:13" ht="15.75">
      <c r="A56" s="577"/>
      <c r="B56" s="565"/>
      <c r="C56" s="565"/>
      <c r="D56" s="565"/>
      <c r="E56" s="322"/>
      <c r="F56" s="322"/>
      <c r="G56" s="340"/>
      <c r="H56" s="340"/>
      <c r="I56" s="340"/>
      <c r="J56" s="310"/>
      <c r="K56" s="548"/>
      <c r="L56" s="548"/>
      <c r="M56" s="548"/>
    </row>
    <row r="57" spans="1:13" ht="20.25" customHeight="1">
      <c r="A57" s="948" t="s">
        <v>315</v>
      </c>
      <c r="B57" s="949"/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</row>
    <row r="58" spans="1:13" ht="1.5" customHeight="1" thickBot="1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</row>
    <row r="59" spans="1:13" ht="24" customHeight="1" thickBot="1">
      <c r="A59" s="550" t="s">
        <v>303</v>
      </c>
      <c r="B59" s="921" t="s">
        <v>302</v>
      </c>
      <c r="C59" s="925"/>
      <c r="D59" s="925"/>
      <c r="E59" s="925"/>
      <c r="F59" s="925"/>
      <c r="G59" s="925"/>
      <c r="H59" s="925"/>
      <c r="I59" s="925"/>
      <c r="J59" s="925"/>
      <c r="K59" s="925"/>
      <c r="L59" s="925"/>
      <c r="M59" s="548"/>
    </row>
    <row r="60" spans="1:13" ht="20.25" customHeight="1" thickBot="1">
      <c r="A60" s="551" t="s">
        <v>301</v>
      </c>
      <c r="B60" s="921" t="s">
        <v>367</v>
      </c>
      <c r="C60" s="925"/>
      <c r="D60" s="925"/>
      <c r="E60" s="925"/>
      <c r="F60" s="925"/>
      <c r="G60" s="925"/>
      <c r="H60" s="925"/>
      <c r="I60" s="925"/>
      <c r="J60" s="925"/>
      <c r="K60" s="925"/>
      <c r="L60" s="925"/>
      <c r="M60" s="548"/>
    </row>
    <row r="61" spans="1:13" ht="20.25" customHeight="1" thickBot="1">
      <c r="A61" s="551" t="s">
        <v>299</v>
      </c>
      <c r="B61" s="923" t="s">
        <v>491</v>
      </c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548"/>
    </row>
    <row r="62" spans="1:13" ht="29.25" customHeight="1" thickBot="1">
      <c r="A62" s="552" t="s">
        <v>297</v>
      </c>
      <c r="B62" s="922" t="s">
        <v>48</v>
      </c>
      <c r="C62" s="922"/>
      <c r="D62" s="922"/>
      <c r="E62" s="922"/>
      <c r="F62" s="922"/>
      <c r="G62" s="922"/>
      <c r="H62" s="922"/>
      <c r="I62" s="922"/>
      <c r="J62" s="922"/>
      <c r="K62" s="922"/>
      <c r="L62" s="921"/>
      <c r="M62" s="548"/>
    </row>
    <row r="63" spans="1:13" ht="32.25" customHeight="1" thickBot="1">
      <c r="A63" s="551" t="s">
        <v>295</v>
      </c>
      <c r="B63" s="553" t="s">
        <v>294</v>
      </c>
      <c r="C63" s="920" t="s">
        <v>293</v>
      </c>
      <c r="D63" s="921"/>
      <c r="E63" s="554"/>
      <c r="F63" s="920" t="s">
        <v>292</v>
      </c>
      <c r="G63" s="922"/>
      <c r="H63" s="922"/>
      <c r="I63" s="921"/>
      <c r="J63" s="922" t="s">
        <v>291</v>
      </c>
      <c r="K63" s="922"/>
      <c r="L63" s="922"/>
      <c r="M63" s="548"/>
    </row>
    <row r="64" spans="1:13" ht="64.5" customHeight="1" thickBot="1">
      <c r="A64" s="551" t="s">
        <v>290</v>
      </c>
      <c r="B64" s="931" t="s">
        <v>383</v>
      </c>
      <c r="C64" s="932"/>
      <c r="D64" s="932"/>
      <c r="E64" s="932"/>
      <c r="F64" s="932"/>
      <c r="G64" s="932"/>
      <c r="H64" s="932"/>
      <c r="I64" s="932"/>
      <c r="J64" s="932"/>
      <c r="K64" s="932"/>
      <c r="L64" s="932"/>
      <c r="M64" s="548"/>
    </row>
    <row r="65" spans="1:13" ht="44.25" customHeight="1" thickBot="1">
      <c r="A65" s="551" t="s">
        <v>288</v>
      </c>
      <c r="B65" s="946" t="s">
        <v>519</v>
      </c>
      <c r="C65" s="947"/>
      <c r="D65" s="947"/>
      <c r="E65" s="947"/>
      <c r="F65" s="947"/>
      <c r="G65" s="947"/>
      <c r="H65" s="947"/>
      <c r="I65" s="947"/>
      <c r="J65" s="947"/>
      <c r="K65" s="947"/>
      <c r="L65" s="947"/>
      <c r="M65" s="548"/>
    </row>
    <row r="66" spans="1:13" ht="0.75" customHeight="1">
      <c r="A66" s="548"/>
      <c r="B66" s="548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</row>
    <row r="67" spans="1:13" ht="20.25" customHeight="1">
      <c r="A67" s="555" t="s">
        <v>286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</row>
    <row r="68" spans="1:13" ht="18.75" customHeight="1" thickBot="1">
      <c r="A68" s="392" t="s">
        <v>283</v>
      </c>
      <c r="B68" s="548" t="s">
        <v>47</v>
      </c>
      <c r="C68" s="548"/>
      <c r="D68" s="548"/>
      <c r="E68" s="548"/>
      <c r="F68" s="548"/>
      <c r="G68" s="548"/>
      <c r="H68" s="548"/>
      <c r="I68" s="548"/>
      <c r="J68" s="548"/>
      <c r="K68" s="548"/>
      <c r="L68" s="556" t="s">
        <v>285</v>
      </c>
      <c r="M68" s="548"/>
    </row>
    <row r="69" spans="1:13" ht="27.75" customHeight="1">
      <c r="A69" s="933" t="s">
        <v>278</v>
      </c>
      <c r="B69" s="926" t="s">
        <v>262</v>
      </c>
      <c r="C69" s="927"/>
      <c r="D69" s="927"/>
      <c r="E69" s="557"/>
      <c r="F69" s="929" t="s">
        <v>261</v>
      </c>
      <c r="G69" s="929"/>
      <c r="H69" s="929"/>
      <c r="I69" s="926" t="s">
        <v>260</v>
      </c>
      <c r="J69" s="927"/>
      <c r="K69" s="927"/>
      <c r="L69" s="928"/>
      <c r="M69" s="558" t="s">
        <v>259</v>
      </c>
    </row>
    <row r="70" spans="1:13" ht="13.5" customHeight="1">
      <c r="A70" s="934"/>
      <c r="B70" s="936" t="s">
        <v>258</v>
      </c>
      <c r="C70" s="926" t="s">
        <v>256</v>
      </c>
      <c r="D70" s="927"/>
      <c r="E70" s="928"/>
      <c r="F70" s="936" t="s">
        <v>257</v>
      </c>
      <c r="G70" s="926" t="s">
        <v>256</v>
      </c>
      <c r="H70" s="943"/>
      <c r="I70" s="936" t="s">
        <v>257</v>
      </c>
      <c r="J70" s="967" t="s">
        <v>256</v>
      </c>
      <c r="K70" s="968"/>
      <c r="L70" s="969"/>
      <c r="M70" s="559"/>
    </row>
    <row r="71" spans="1:13" ht="64.5" thickBot="1">
      <c r="A71" s="935"/>
      <c r="B71" s="937"/>
      <c r="C71" s="560" t="s">
        <v>252</v>
      </c>
      <c r="D71" s="560" t="s">
        <v>277</v>
      </c>
      <c r="E71" s="560" t="s">
        <v>276</v>
      </c>
      <c r="F71" s="938"/>
      <c r="G71" s="560" t="s">
        <v>275</v>
      </c>
      <c r="H71" s="560" t="s">
        <v>253</v>
      </c>
      <c r="I71" s="938"/>
      <c r="J71" s="560" t="s">
        <v>252</v>
      </c>
      <c r="K71" s="560" t="s">
        <v>251</v>
      </c>
      <c r="L71" s="560" t="s">
        <v>274</v>
      </c>
      <c r="M71" s="561"/>
    </row>
    <row r="72" spans="1:13" ht="15.75">
      <c r="A72" s="560" t="s">
        <v>19</v>
      </c>
      <c r="B72" s="562">
        <f>C72+D72+E72</f>
        <v>5006.3</v>
      </c>
      <c r="C72" s="563">
        <f>'прил 4-1'!G15</f>
        <v>5006.3</v>
      </c>
      <c r="D72" s="563"/>
      <c r="E72" s="561"/>
      <c r="F72" s="563"/>
      <c r="G72" s="563"/>
      <c r="H72" s="563"/>
      <c r="I72" s="562">
        <f>J72+K72+L72</f>
        <v>0</v>
      </c>
      <c r="J72" s="563"/>
      <c r="K72" s="563"/>
      <c r="L72" s="561"/>
      <c r="M72" s="564">
        <f>B72+F72+I72</f>
        <v>5006.3</v>
      </c>
    </row>
    <row r="73" spans="1:13" ht="15.75">
      <c r="A73" s="560" t="s">
        <v>20</v>
      </c>
      <c r="B73" s="562">
        <f>C73+D73+E73</f>
        <v>5006.3</v>
      </c>
      <c r="C73" s="563">
        <f>C72</f>
        <v>5006.3</v>
      </c>
      <c r="D73" s="563"/>
      <c r="E73" s="561"/>
      <c r="F73" s="563"/>
      <c r="G73" s="563"/>
      <c r="H73" s="563"/>
      <c r="I73" s="562">
        <f>J73+K73+L73</f>
        <v>0</v>
      </c>
      <c r="J73" s="563"/>
      <c r="K73" s="563"/>
      <c r="L73" s="561"/>
      <c r="M73" s="564">
        <f>B73+F73+I73</f>
        <v>5006.3</v>
      </c>
    </row>
    <row r="74" spans="1:13" ht="15.75">
      <c r="A74" s="560" t="s">
        <v>490</v>
      </c>
      <c r="B74" s="562">
        <f>C74+D74+E74</f>
        <v>5006.3</v>
      </c>
      <c r="C74" s="563">
        <f>C73</f>
        <v>5006.3</v>
      </c>
      <c r="D74" s="563"/>
      <c r="E74" s="561"/>
      <c r="F74" s="563"/>
      <c r="G74" s="563"/>
      <c r="H74" s="563"/>
      <c r="I74" s="562">
        <f>J74+K74+L74</f>
        <v>0</v>
      </c>
      <c r="J74" s="563"/>
      <c r="K74" s="563"/>
      <c r="L74" s="561"/>
      <c r="M74" s="564">
        <f>B74+F74+I74</f>
        <v>5006.3</v>
      </c>
    </row>
    <row r="75" spans="1:13" ht="21.75" customHeight="1">
      <c r="A75" s="548"/>
      <c r="B75" s="565"/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48"/>
    </row>
    <row r="76" spans="1:13" ht="15.75">
      <c r="A76" s="392" t="s">
        <v>284</v>
      </c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</row>
    <row r="77" spans="1:13" ht="22.5" customHeight="1" thickBot="1">
      <c r="A77" s="392" t="s">
        <v>283</v>
      </c>
      <c r="B77" s="392" t="s">
        <v>382</v>
      </c>
      <c r="C77" s="567"/>
      <c r="D77" s="567"/>
      <c r="E77" s="548"/>
      <c r="F77" s="548"/>
      <c r="G77" s="548"/>
      <c r="H77" s="548"/>
      <c r="I77" s="548"/>
      <c r="J77" s="548"/>
      <c r="K77" s="548"/>
      <c r="L77" s="548"/>
      <c r="M77" s="548"/>
    </row>
    <row r="78" spans="1:13" ht="16.5" thickBot="1">
      <c r="A78" s="933" t="s">
        <v>282</v>
      </c>
      <c r="B78" s="940" t="s">
        <v>281</v>
      </c>
      <c r="C78" s="941"/>
      <c r="D78" s="942"/>
      <c r="E78" s="933" t="s">
        <v>69</v>
      </c>
      <c r="F78" s="568" t="s">
        <v>14</v>
      </c>
      <c r="G78" s="972" t="s">
        <v>15</v>
      </c>
      <c r="H78" s="973"/>
      <c r="I78" s="973"/>
      <c r="J78" s="974"/>
      <c r="K78" s="548"/>
      <c r="L78" s="548"/>
      <c r="M78" s="548"/>
    </row>
    <row r="79" spans="1:13" ht="16.5" thickBot="1">
      <c r="A79" s="935"/>
      <c r="B79" s="953"/>
      <c r="C79" s="970"/>
      <c r="D79" s="971"/>
      <c r="E79" s="935"/>
      <c r="F79" s="569" t="s">
        <v>16</v>
      </c>
      <c r="G79" s="569" t="s">
        <v>17</v>
      </c>
      <c r="H79" s="569" t="s">
        <v>18</v>
      </c>
      <c r="I79" s="569" t="s">
        <v>19</v>
      </c>
      <c r="J79" s="569" t="s">
        <v>20</v>
      </c>
      <c r="K79" s="548"/>
      <c r="L79" s="548"/>
      <c r="M79" s="548"/>
    </row>
    <row r="80" spans="1:13" ht="21.75" customHeight="1">
      <c r="A80" s="339" t="s">
        <v>50</v>
      </c>
      <c r="B80" s="982" t="s">
        <v>492</v>
      </c>
      <c r="C80" s="983"/>
      <c r="D80" s="984"/>
      <c r="E80" s="541" t="s">
        <v>64</v>
      </c>
      <c r="F80" s="338">
        <v>49100</v>
      </c>
      <c r="G80" s="337">
        <v>49500</v>
      </c>
      <c r="H80" s="337">
        <v>49800</v>
      </c>
      <c r="I80" s="337">
        <v>50000</v>
      </c>
      <c r="J80" s="336">
        <v>50000</v>
      </c>
      <c r="K80" s="548"/>
      <c r="L80" s="548"/>
      <c r="M80" s="548"/>
    </row>
    <row r="81" spans="1:13" ht="16.5" thickBot="1">
      <c r="A81" s="334"/>
      <c r="B81" s="981"/>
      <c r="C81" s="981"/>
      <c r="D81" s="981"/>
      <c r="E81" s="542"/>
      <c r="F81" s="542"/>
      <c r="G81" s="332"/>
      <c r="H81" s="332"/>
      <c r="I81" s="332"/>
      <c r="J81" s="331"/>
      <c r="K81" s="548"/>
      <c r="L81" s="548"/>
      <c r="M81" s="548"/>
    </row>
    <row r="82" spans="1:13" ht="15.75">
      <c r="A82" s="548"/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  <c r="M82" s="548"/>
    </row>
    <row r="83" spans="1:13" ht="20.25" customHeight="1">
      <c r="A83" s="948" t="s">
        <v>315</v>
      </c>
      <c r="B83" s="949"/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</row>
    <row r="84" spans="1:13" ht="1.5" customHeight="1" thickBot="1">
      <c r="A84" s="548"/>
      <c r="B84" s="548"/>
      <c r="C84" s="548"/>
      <c r="D84" s="548"/>
      <c r="E84" s="548"/>
      <c r="F84" s="548"/>
      <c r="G84" s="548"/>
      <c r="H84" s="548"/>
      <c r="I84" s="548"/>
      <c r="J84" s="548"/>
      <c r="K84" s="548"/>
      <c r="L84" s="548"/>
      <c r="M84" s="548"/>
    </row>
    <row r="85" spans="1:13" ht="24" customHeight="1" thickBot="1">
      <c r="A85" s="550" t="s">
        <v>303</v>
      </c>
      <c r="B85" s="921" t="s">
        <v>302</v>
      </c>
      <c r="C85" s="925"/>
      <c r="D85" s="925"/>
      <c r="E85" s="925"/>
      <c r="F85" s="925"/>
      <c r="G85" s="925"/>
      <c r="H85" s="925"/>
      <c r="I85" s="925"/>
      <c r="J85" s="925"/>
      <c r="K85" s="925"/>
      <c r="L85" s="925"/>
      <c r="M85" s="548"/>
    </row>
    <row r="86" spans="1:13" ht="18" customHeight="1" thickBot="1">
      <c r="A86" s="551" t="s">
        <v>301</v>
      </c>
      <c r="B86" s="921" t="s">
        <v>367</v>
      </c>
      <c r="C86" s="925"/>
      <c r="D86" s="925"/>
      <c r="E86" s="925"/>
      <c r="F86" s="925"/>
      <c r="G86" s="925"/>
      <c r="H86" s="925"/>
      <c r="I86" s="925"/>
      <c r="J86" s="925"/>
      <c r="K86" s="925"/>
      <c r="L86" s="925"/>
      <c r="M86" s="548"/>
    </row>
    <row r="87" spans="1:13" ht="16.5" customHeight="1" thickBot="1">
      <c r="A87" s="551" t="s">
        <v>299</v>
      </c>
      <c r="B87" s="923" t="s">
        <v>381</v>
      </c>
      <c r="C87" s="924"/>
      <c r="D87" s="924"/>
      <c r="E87" s="924"/>
      <c r="F87" s="924"/>
      <c r="G87" s="924"/>
      <c r="H87" s="924"/>
      <c r="I87" s="924"/>
      <c r="J87" s="924"/>
      <c r="K87" s="924"/>
      <c r="L87" s="924"/>
      <c r="M87" s="548"/>
    </row>
    <row r="88" spans="1:13" ht="17.25" customHeight="1" thickBot="1">
      <c r="A88" s="552" t="s">
        <v>297</v>
      </c>
      <c r="B88" s="922" t="s">
        <v>54</v>
      </c>
      <c r="C88" s="922"/>
      <c r="D88" s="922"/>
      <c r="E88" s="922"/>
      <c r="F88" s="922"/>
      <c r="G88" s="922"/>
      <c r="H88" s="922"/>
      <c r="I88" s="922"/>
      <c r="J88" s="922"/>
      <c r="K88" s="922"/>
      <c r="L88" s="921"/>
      <c r="M88" s="548"/>
    </row>
    <row r="89" spans="1:13" ht="32.25" customHeight="1" thickBot="1">
      <c r="A89" s="551" t="s">
        <v>295</v>
      </c>
      <c r="B89" s="553" t="s">
        <v>294</v>
      </c>
      <c r="C89" s="920" t="s">
        <v>293</v>
      </c>
      <c r="D89" s="921"/>
      <c r="E89" s="554"/>
      <c r="F89" s="920" t="s">
        <v>292</v>
      </c>
      <c r="G89" s="922"/>
      <c r="H89" s="922"/>
      <c r="I89" s="921"/>
      <c r="J89" s="922" t="s">
        <v>291</v>
      </c>
      <c r="K89" s="922"/>
      <c r="L89" s="922"/>
      <c r="M89" s="548"/>
    </row>
    <row r="90" spans="1:13" ht="105.75" customHeight="1" thickBot="1">
      <c r="A90" s="551" t="s">
        <v>290</v>
      </c>
      <c r="B90" s="931" t="s">
        <v>380</v>
      </c>
      <c r="C90" s="932"/>
      <c r="D90" s="932"/>
      <c r="E90" s="932"/>
      <c r="F90" s="932"/>
      <c r="G90" s="932"/>
      <c r="H90" s="932"/>
      <c r="I90" s="932"/>
      <c r="J90" s="932"/>
      <c r="K90" s="932"/>
      <c r="L90" s="932"/>
      <c r="M90" s="548"/>
    </row>
    <row r="91" spans="1:13" ht="31.5" customHeight="1" thickBot="1">
      <c r="A91" s="551" t="s">
        <v>288</v>
      </c>
      <c r="B91" s="930" t="s">
        <v>363</v>
      </c>
      <c r="C91" s="925"/>
      <c r="D91" s="925"/>
      <c r="E91" s="925"/>
      <c r="F91" s="925"/>
      <c r="G91" s="925"/>
      <c r="H91" s="925"/>
      <c r="I91" s="925"/>
      <c r="J91" s="925"/>
      <c r="K91" s="925"/>
      <c r="L91" s="925"/>
      <c r="M91" s="548"/>
    </row>
    <row r="92" spans="1:13" ht="0.75" customHeight="1" hidden="1">
      <c r="A92" s="548"/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</row>
    <row r="93" spans="1:13" ht="20.25" customHeight="1">
      <c r="A93" s="555" t="s">
        <v>286</v>
      </c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</row>
    <row r="94" spans="1:13" ht="18.75" customHeight="1" thickBot="1">
      <c r="A94" s="392" t="s">
        <v>283</v>
      </c>
      <c r="B94" s="548" t="s">
        <v>52</v>
      </c>
      <c r="C94" s="548"/>
      <c r="D94" s="548"/>
      <c r="E94" s="548"/>
      <c r="F94" s="548"/>
      <c r="G94" s="548"/>
      <c r="H94" s="548"/>
      <c r="I94" s="548"/>
      <c r="J94" s="548"/>
      <c r="K94" s="548"/>
      <c r="L94" s="556" t="s">
        <v>285</v>
      </c>
      <c r="M94" s="548"/>
    </row>
    <row r="95" spans="1:13" ht="27.75" customHeight="1">
      <c r="A95" s="933" t="s">
        <v>278</v>
      </c>
      <c r="B95" s="926" t="s">
        <v>262</v>
      </c>
      <c r="C95" s="927"/>
      <c r="D95" s="927"/>
      <c r="E95" s="557"/>
      <c r="F95" s="929" t="s">
        <v>261</v>
      </c>
      <c r="G95" s="929"/>
      <c r="H95" s="929"/>
      <c r="I95" s="926" t="s">
        <v>260</v>
      </c>
      <c r="J95" s="927"/>
      <c r="K95" s="927"/>
      <c r="L95" s="928"/>
      <c r="M95" s="558" t="s">
        <v>259</v>
      </c>
    </row>
    <row r="96" spans="1:13" ht="13.5" customHeight="1">
      <c r="A96" s="934"/>
      <c r="B96" s="936" t="s">
        <v>258</v>
      </c>
      <c r="C96" s="926" t="s">
        <v>256</v>
      </c>
      <c r="D96" s="927"/>
      <c r="E96" s="928"/>
      <c r="F96" s="936" t="s">
        <v>257</v>
      </c>
      <c r="G96" s="926" t="s">
        <v>256</v>
      </c>
      <c r="H96" s="943"/>
      <c r="I96" s="936" t="s">
        <v>257</v>
      </c>
      <c r="J96" s="967" t="s">
        <v>256</v>
      </c>
      <c r="K96" s="968"/>
      <c r="L96" s="969"/>
      <c r="M96" s="559"/>
    </row>
    <row r="97" spans="1:13" ht="64.5" thickBot="1">
      <c r="A97" s="935"/>
      <c r="B97" s="937"/>
      <c r="C97" s="560" t="s">
        <v>252</v>
      </c>
      <c r="D97" s="560" t="s">
        <v>277</v>
      </c>
      <c r="E97" s="560" t="s">
        <v>276</v>
      </c>
      <c r="F97" s="938"/>
      <c r="G97" s="560" t="s">
        <v>275</v>
      </c>
      <c r="H97" s="560" t="s">
        <v>253</v>
      </c>
      <c r="I97" s="938"/>
      <c r="J97" s="560" t="s">
        <v>252</v>
      </c>
      <c r="K97" s="560" t="s">
        <v>251</v>
      </c>
      <c r="L97" s="560" t="s">
        <v>274</v>
      </c>
      <c r="M97" s="561"/>
    </row>
    <row r="98" spans="1:13" ht="15.75">
      <c r="A98" s="560" t="s">
        <v>19</v>
      </c>
      <c r="B98" s="562">
        <f>C98+D98+E98</f>
        <v>1301.4</v>
      </c>
      <c r="C98" s="563">
        <f>'прил 4-1'!G16</f>
        <v>1301.4</v>
      </c>
      <c r="D98" s="563"/>
      <c r="E98" s="563"/>
      <c r="F98" s="563"/>
      <c r="G98" s="563"/>
      <c r="H98" s="563"/>
      <c r="I98" s="562">
        <f>J98+K98+L98</f>
        <v>0</v>
      </c>
      <c r="J98" s="563"/>
      <c r="K98" s="563"/>
      <c r="L98" s="561"/>
      <c r="M98" s="564">
        <f>B98+F98+I98</f>
        <v>1301.4</v>
      </c>
    </row>
    <row r="99" spans="1:13" ht="15.75">
      <c r="A99" s="560" t="s">
        <v>20</v>
      </c>
      <c r="B99" s="562">
        <f>C99+D99+E99</f>
        <v>1301.4</v>
      </c>
      <c r="C99" s="563">
        <f>C98</f>
        <v>1301.4</v>
      </c>
      <c r="D99" s="563"/>
      <c r="E99" s="563"/>
      <c r="F99" s="563"/>
      <c r="G99" s="563"/>
      <c r="H99" s="563"/>
      <c r="I99" s="562">
        <f>J99+K99+L99</f>
        <v>0</v>
      </c>
      <c r="J99" s="563"/>
      <c r="K99" s="563"/>
      <c r="L99" s="561"/>
      <c r="M99" s="564">
        <f>B99+F99+I99</f>
        <v>1301.4</v>
      </c>
    </row>
    <row r="100" spans="1:13" ht="15.75">
      <c r="A100" s="560" t="s">
        <v>490</v>
      </c>
      <c r="B100" s="562">
        <f>C100+D100+E100</f>
        <v>1301.4</v>
      </c>
      <c r="C100" s="563">
        <f>C99</f>
        <v>1301.4</v>
      </c>
      <c r="D100" s="563"/>
      <c r="E100" s="563"/>
      <c r="F100" s="563"/>
      <c r="G100" s="563"/>
      <c r="H100" s="563"/>
      <c r="I100" s="562">
        <f>J100+K100+L100</f>
        <v>0</v>
      </c>
      <c r="J100" s="563"/>
      <c r="K100" s="563"/>
      <c r="L100" s="561"/>
      <c r="M100" s="564">
        <f>B100+F100+I100</f>
        <v>1301.4</v>
      </c>
    </row>
    <row r="101" spans="1:13" ht="19.5" customHeight="1">
      <c r="A101" s="548"/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48"/>
    </row>
    <row r="102" spans="1:13" ht="15.75">
      <c r="A102" s="392" t="s">
        <v>284</v>
      </c>
      <c r="B102" s="548"/>
      <c r="C102" s="548"/>
      <c r="D102" s="548"/>
      <c r="E102" s="548"/>
      <c r="F102" s="548"/>
      <c r="G102" s="548"/>
      <c r="H102" s="548"/>
      <c r="I102" s="548"/>
      <c r="J102" s="548"/>
      <c r="K102" s="548"/>
      <c r="L102" s="548"/>
      <c r="M102" s="548"/>
    </row>
    <row r="103" spans="1:13" ht="22.5" customHeight="1" thickBot="1">
      <c r="A103" s="392" t="s">
        <v>283</v>
      </c>
      <c r="B103" s="392" t="s">
        <v>52</v>
      </c>
      <c r="C103" s="567"/>
      <c r="D103" s="567"/>
      <c r="E103" s="548"/>
      <c r="F103" s="548"/>
      <c r="G103" s="548"/>
      <c r="H103" s="548"/>
      <c r="I103" s="548"/>
      <c r="J103" s="548"/>
      <c r="K103" s="548"/>
      <c r="L103" s="548"/>
      <c r="M103" s="548"/>
    </row>
    <row r="104" spans="1:13" ht="15.75" customHeight="1">
      <c r="A104" s="933" t="s">
        <v>282</v>
      </c>
      <c r="B104" s="940" t="s">
        <v>281</v>
      </c>
      <c r="C104" s="941"/>
      <c r="D104" s="942"/>
      <c r="E104" s="940" t="s">
        <v>69</v>
      </c>
      <c r="F104" s="560"/>
      <c r="G104" s="572" t="s">
        <v>15</v>
      </c>
      <c r="H104" s="572"/>
      <c r="I104" s="572"/>
      <c r="J104" s="572"/>
      <c r="K104" s="548"/>
      <c r="L104" s="548"/>
      <c r="M104" s="548"/>
    </row>
    <row r="105" spans="1:13" ht="16.5" thickBot="1">
      <c r="A105" s="935"/>
      <c r="B105" s="953"/>
      <c r="C105" s="970"/>
      <c r="D105" s="971"/>
      <c r="E105" s="935"/>
      <c r="F105" s="569" t="s">
        <v>17</v>
      </c>
      <c r="G105" s="569" t="s">
        <v>18</v>
      </c>
      <c r="H105" s="569" t="s">
        <v>19</v>
      </c>
      <c r="I105" s="569" t="s">
        <v>20</v>
      </c>
      <c r="J105" s="569" t="s">
        <v>21</v>
      </c>
      <c r="K105" s="548"/>
      <c r="L105" s="548"/>
      <c r="M105" s="548"/>
    </row>
    <row r="106" spans="1:13" ht="54.75" customHeight="1">
      <c r="A106" s="335" t="s">
        <v>55</v>
      </c>
      <c r="B106" s="980" t="s">
        <v>493</v>
      </c>
      <c r="C106" s="980"/>
      <c r="D106" s="980"/>
      <c r="E106" s="541" t="s">
        <v>51</v>
      </c>
      <c r="F106" s="541"/>
      <c r="G106" s="330">
        <v>100</v>
      </c>
      <c r="H106" s="330">
        <v>100</v>
      </c>
      <c r="I106" s="330">
        <v>100</v>
      </c>
      <c r="J106" s="328">
        <v>100</v>
      </c>
      <c r="K106" s="548"/>
      <c r="L106" s="548"/>
      <c r="M106" s="548"/>
    </row>
    <row r="107" spans="1:13" ht="16.5" thickBot="1">
      <c r="A107" s="334"/>
      <c r="B107" s="981"/>
      <c r="C107" s="981"/>
      <c r="D107" s="981"/>
      <c r="E107" s="542"/>
      <c r="F107" s="542"/>
      <c r="G107" s="332"/>
      <c r="H107" s="332"/>
      <c r="I107" s="332"/>
      <c r="J107" s="331"/>
      <c r="K107" s="548"/>
      <c r="L107" s="548"/>
      <c r="M107" s="548"/>
    </row>
    <row r="108" spans="1:13" ht="15.75">
      <c r="A108" s="548"/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</row>
    <row r="109" spans="1:13" ht="20.25" customHeight="1">
      <c r="A109" s="948" t="s">
        <v>315</v>
      </c>
      <c r="B109" s="949"/>
      <c r="C109" s="949"/>
      <c r="D109" s="949"/>
      <c r="E109" s="949"/>
      <c r="F109" s="949"/>
      <c r="G109" s="949"/>
      <c r="H109" s="949"/>
      <c r="I109" s="949"/>
      <c r="J109" s="949"/>
      <c r="K109" s="949"/>
      <c r="L109" s="949"/>
      <c r="M109" s="949"/>
    </row>
    <row r="110" spans="1:13" ht="1.5" customHeight="1" thickBot="1">
      <c r="A110" s="548"/>
      <c r="B110" s="548"/>
      <c r="C110" s="548"/>
      <c r="D110" s="548"/>
      <c r="E110" s="548"/>
      <c r="F110" s="548"/>
      <c r="G110" s="548"/>
      <c r="H110" s="548"/>
      <c r="I110" s="548"/>
      <c r="J110" s="548"/>
      <c r="K110" s="548"/>
      <c r="L110" s="548"/>
      <c r="M110" s="548"/>
    </row>
    <row r="111" spans="1:13" ht="24" customHeight="1" thickBot="1">
      <c r="A111" s="550" t="s">
        <v>303</v>
      </c>
      <c r="B111" s="921" t="s">
        <v>302</v>
      </c>
      <c r="C111" s="925"/>
      <c r="D111" s="925"/>
      <c r="E111" s="925"/>
      <c r="F111" s="925"/>
      <c r="G111" s="925"/>
      <c r="H111" s="925"/>
      <c r="I111" s="925"/>
      <c r="J111" s="925"/>
      <c r="K111" s="925"/>
      <c r="L111" s="925"/>
      <c r="M111" s="548"/>
    </row>
    <row r="112" spans="1:13" ht="20.25" customHeight="1" thickBot="1">
      <c r="A112" s="551" t="s">
        <v>301</v>
      </c>
      <c r="B112" s="921" t="s">
        <v>367</v>
      </c>
      <c r="C112" s="925"/>
      <c r="D112" s="925"/>
      <c r="E112" s="925"/>
      <c r="F112" s="925"/>
      <c r="G112" s="925"/>
      <c r="H112" s="925"/>
      <c r="I112" s="925"/>
      <c r="J112" s="925"/>
      <c r="K112" s="925"/>
      <c r="L112" s="925"/>
      <c r="M112" s="548"/>
    </row>
    <row r="113" spans="1:13" ht="20.25" customHeight="1" thickBot="1">
      <c r="A113" s="551" t="s">
        <v>299</v>
      </c>
      <c r="B113" s="923" t="s">
        <v>379</v>
      </c>
      <c r="C113" s="924"/>
      <c r="D113" s="924"/>
      <c r="E113" s="924"/>
      <c r="F113" s="924"/>
      <c r="G113" s="924"/>
      <c r="H113" s="924"/>
      <c r="I113" s="924"/>
      <c r="J113" s="924"/>
      <c r="K113" s="924"/>
      <c r="L113" s="924"/>
      <c r="M113" s="548"/>
    </row>
    <row r="114" spans="1:13" ht="29.25" customHeight="1" thickBot="1">
      <c r="A114" s="552" t="s">
        <v>297</v>
      </c>
      <c r="B114" s="922" t="s">
        <v>378</v>
      </c>
      <c r="C114" s="922"/>
      <c r="D114" s="922"/>
      <c r="E114" s="922"/>
      <c r="F114" s="922"/>
      <c r="G114" s="922"/>
      <c r="H114" s="922"/>
      <c r="I114" s="922"/>
      <c r="J114" s="922"/>
      <c r="K114" s="922"/>
      <c r="L114" s="921"/>
      <c r="M114" s="548"/>
    </row>
    <row r="115" spans="1:13" ht="32.25" customHeight="1" thickBot="1">
      <c r="A115" s="551" t="s">
        <v>295</v>
      </c>
      <c r="B115" s="553" t="s">
        <v>294</v>
      </c>
      <c r="C115" s="920" t="s">
        <v>293</v>
      </c>
      <c r="D115" s="921"/>
      <c r="E115" s="554"/>
      <c r="F115" s="920" t="s">
        <v>292</v>
      </c>
      <c r="G115" s="922"/>
      <c r="H115" s="922"/>
      <c r="I115" s="921"/>
      <c r="J115" s="922" t="s">
        <v>291</v>
      </c>
      <c r="K115" s="922"/>
      <c r="L115" s="922"/>
      <c r="M115" s="548"/>
    </row>
    <row r="116" spans="1:13" ht="64.5" customHeight="1" thickBot="1">
      <c r="A116" s="551" t="s">
        <v>290</v>
      </c>
      <c r="B116" s="931" t="s">
        <v>377</v>
      </c>
      <c r="C116" s="932"/>
      <c r="D116" s="932"/>
      <c r="E116" s="932"/>
      <c r="F116" s="932"/>
      <c r="G116" s="932"/>
      <c r="H116" s="932"/>
      <c r="I116" s="932"/>
      <c r="J116" s="932"/>
      <c r="K116" s="932"/>
      <c r="L116" s="932"/>
      <c r="M116" s="548"/>
    </row>
    <row r="117" spans="1:13" ht="26.25" thickBot="1">
      <c r="A117" s="551" t="s">
        <v>288</v>
      </c>
      <c r="B117" s="930" t="s">
        <v>363</v>
      </c>
      <c r="C117" s="925"/>
      <c r="D117" s="925"/>
      <c r="E117" s="925"/>
      <c r="F117" s="925"/>
      <c r="G117" s="925"/>
      <c r="H117" s="925"/>
      <c r="I117" s="925"/>
      <c r="J117" s="925"/>
      <c r="K117" s="925"/>
      <c r="L117" s="925"/>
      <c r="M117" s="548"/>
    </row>
    <row r="118" spans="1:13" ht="0.75" customHeight="1">
      <c r="A118" s="548"/>
      <c r="B118" s="548"/>
      <c r="C118" s="548"/>
      <c r="D118" s="548"/>
      <c r="E118" s="548"/>
      <c r="F118" s="548"/>
      <c r="G118" s="548"/>
      <c r="H118" s="548"/>
      <c r="I118" s="548"/>
      <c r="J118" s="548"/>
      <c r="K118" s="548"/>
      <c r="L118" s="548"/>
      <c r="M118" s="548"/>
    </row>
    <row r="119" spans="1:13" ht="20.25" customHeight="1">
      <c r="A119" s="555" t="s">
        <v>286</v>
      </c>
      <c r="B119" s="548"/>
      <c r="C119" s="548"/>
      <c r="D119" s="548"/>
      <c r="E119" s="548"/>
      <c r="F119" s="548"/>
      <c r="G119" s="548"/>
      <c r="H119" s="548"/>
      <c r="I119" s="548"/>
      <c r="J119" s="548"/>
      <c r="K119" s="548"/>
      <c r="L119" s="548"/>
      <c r="M119" s="548"/>
    </row>
    <row r="120" spans="1:13" ht="18.75" customHeight="1" thickBot="1">
      <c r="A120" s="392" t="s">
        <v>283</v>
      </c>
      <c r="B120" s="548" t="s">
        <v>376</v>
      </c>
      <c r="C120" s="548"/>
      <c r="D120" s="548"/>
      <c r="E120" s="548"/>
      <c r="F120" s="548"/>
      <c r="G120" s="548"/>
      <c r="H120" s="548"/>
      <c r="I120" s="548"/>
      <c r="J120" s="548"/>
      <c r="K120" s="548"/>
      <c r="L120" s="556" t="s">
        <v>285</v>
      </c>
      <c r="M120" s="548"/>
    </row>
    <row r="121" spans="1:13" ht="27.75" customHeight="1">
      <c r="A121" s="933" t="s">
        <v>278</v>
      </c>
      <c r="B121" s="926" t="s">
        <v>262</v>
      </c>
      <c r="C121" s="927"/>
      <c r="D121" s="927"/>
      <c r="E121" s="557"/>
      <c r="F121" s="929" t="s">
        <v>261</v>
      </c>
      <c r="G121" s="929"/>
      <c r="H121" s="929"/>
      <c r="I121" s="926" t="s">
        <v>260</v>
      </c>
      <c r="J121" s="927"/>
      <c r="K121" s="927"/>
      <c r="L121" s="928"/>
      <c r="M121" s="558" t="s">
        <v>259</v>
      </c>
    </row>
    <row r="122" spans="1:13" ht="13.5" customHeight="1">
      <c r="A122" s="934"/>
      <c r="B122" s="936" t="s">
        <v>258</v>
      </c>
      <c r="C122" s="926" t="s">
        <v>256</v>
      </c>
      <c r="D122" s="927"/>
      <c r="E122" s="928"/>
      <c r="F122" s="936" t="s">
        <v>257</v>
      </c>
      <c r="G122" s="926" t="s">
        <v>256</v>
      </c>
      <c r="H122" s="943"/>
      <c r="I122" s="936" t="s">
        <v>257</v>
      </c>
      <c r="J122" s="967" t="s">
        <v>256</v>
      </c>
      <c r="K122" s="968"/>
      <c r="L122" s="969"/>
      <c r="M122" s="559"/>
    </row>
    <row r="123" spans="1:13" ht="64.5" thickBot="1">
      <c r="A123" s="935"/>
      <c r="B123" s="937"/>
      <c r="C123" s="560" t="s">
        <v>252</v>
      </c>
      <c r="D123" s="560" t="s">
        <v>277</v>
      </c>
      <c r="E123" s="560" t="s">
        <v>276</v>
      </c>
      <c r="F123" s="938"/>
      <c r="G123" s="560" t="s">
        <v>275</v>
      </c>
      <c r="H123" s="560" t="s">
        <v>253</v>
      </c>
      <c r="I123" s="938"/>
      <c r="J123" s="560" t="s">
        <v>252</v>
      </c>
      <c r="K123" s="560" t="s">
        <v>251</v>
      </c>
      <c r="L123" s="560" t="s">
        <v>274</v>
      </c>
      <c r="M123" s="561"/>
    </row>
    <row r="124" spans="1:16" ht="15.75">
      <c r="A124" s="560" t="s">
        <v>19</v>
      </c>
      <c r="B124" s="562">
        <f>C124+D124+E124</f>
        <v>26528.4</v>
      </c>
      <c r="C124" s="563">
        <f>'прил 4-1'!G17</f>
        <v>3068.3999999999996</v>
      </c>
      <c r="D124" s="563">
        <f>'прил 4-1'!H17</f>
        <v>23460</v>
      </c>
      <c r="E124" s="563"/>
      <c r="F124" s="563"/>
      <c r="G124" s="563"/>
      <c r="H124" s="563"/>
      <c r="I124" s="562">
        <f>J124+K124+L124</f>
        <v>0</v>
      </c>
      <c r="J124" s="563"/>
      <c r="K124" s="563"/>
      <c r="L124" s="561"/>
      <c r="M124" s="564">
        <f>B124+F124+I124</f>
        <v>26528.4</v>
      </c>
      <c r="P124" s="257"/>
    </row>
    <row r="125" spans="1:16" ht="15.75">
      <c r="A125" s="560" t="s">
        <v>20</v>
      </c>
      <c r="B125" s="562">
        <f>C125+D125+E125</f>
        <v>26528.4</v>
      </c>
      <c r="C125" s="563">
        <f>C124</f>
        <v>3068.3999999999996</v>
      </c>
      <c r="D125" s="578">
        <f>D124</f>
        <v>23460</v>
      </c>
      <c r="E125" s="563"/>
      <c r="F125" s="563"/>
      <c r="G125" s="563"/>
      <c r="H125" s="563"/>
      <c r="I125" s="562">
        <f>J125+K125+L125</f>
        <v>0</v>
      </c>
      <c r="J125" s="563"/>
      <c r="K125" s="563"/>
      <c r="L125" s="561"/>
      <c r="M125" s="564">
        <f>B125+F125+I125</f>
        <v>26528.4</v>
      </c>
      <c r="P125" s="257"/>
    </row>
    <row r="126" spans="1:16" ht="14.25" customHeight="1">
      <c r="A126" s="560" t="s">
        <v>490</v>
      </c>
      <c r="B126" s="562">
        <f>C126+D126+E126</f>
        <v>26528.4</v>
      </c>
      <c r="C126" s="563">
        <f>C125</f>
        <v>3068.3999999999996</v>
      </c>
      <c r="D126" s="578">
        <f>D125</f>
        <v>23460</v>
      </c>
      <c r="E126" s="560"/>
      <c r="F126" s="560"/>
      <c r="G126" s="560"/>
      <c r="H126" s="560"/>
      <c r="I126" s="562">
        <f>J126+K126+L126</f>
        <v>0</v>
      </c>
      <c r="J126" s="560"/>
      <c r="K126" s="560"/>
      <c r="L126" s="560"/>
      <c r="M126" s="564">
        <f>B126+F126+I126</f>
        <v>26528.4</v>
      </c>
      <c r="P126" s="257"/>
    </row>
    <row r="127" spans="1:13" ht="15.75">
      <c r="A127" s="392"/>
      <c r="B127" s="548"/>
      <c r="C127" s="548"/>
      <c r="D127" s="579"/>
      <c r="E127" s="548"/>
      <c r="F127" s="548"/>
      <c r="G127" s="548"/>
      <c r="H127" s="548"/>
      <c r="I127" s="548"/>
      <c r="J127" s="548"/>
      <c r="K127" s="548"/>
      <c r="L127" s="548"/>
      <c r="M127" s="548"/>
    </row>
    <row r="128" spans="1:13" ht="4.5" customHeight="1">
      <c r="A128" s="548"/>
      <c r="B128" s="565"/>
      <c r="C128" s="565"/>
      <c r="D128" s="565"/>
      <c r="E128" s="565"/>
      <c r="F128" s="565"/>
      <c r="G128" s="565"/>
      <c r="H128" s="565"/>
      <c r="I128" s="565"/>
      <c r="J128" s="565"/>
      <c r="K128" s="565"/>
      <c r="L128" s="565"/>
      <c r="M128" s="548"/>
    </row>
    <row r="129" spans="1:13" ht="15.75">
      <c r="A129" s="392" t="s">
        <v>284</v>
      </c>
      <c r="B129" s="548"/>
      <c r="C129" s="548"/>
      <c r="D129" s="548"/>
      <c r="E129" s="548"/>
      <c r="F129" s="548"/>
      <c r="G129" s="548"/>
      <c r="H129" s="548"/>
      <c r="I129" s="548"/>
      <c r="J129" s="548"/>
      <c r="K129" s="548"/>
      <c r="L129" s="548"/>
      <c r="M129" s="548"/>
    </row>
    <row r="130" spans="1:13" ht="22.5" customHeight="1" thickBot="1">
      <c r="A130" s="392" t="s">
        <v>283</v>
      </c>
      <c r="B130" s="392" t="s">
        <v>57</v>
      </c>
      <c r="C130" s="567"/>
      <c r="D130" s="567"/>
      <c r="E130" s="548"/>
      <c r="F130" s="548"/>
      <c r="G130" s="548"/>
      <c r="H130" s="548"/>
      <c r="I130" s="548"/>
      <c r="J130" s="548"/>
      <c r="K130" s="548"/>
      <c r="L130" s="548"/>
      <c r="M130" s="548"/>
    </row>
    <row r="131" spans="1:13" ht="15.75" customHeight="1">
      <c r="A131" s="933" t="s">
        <v>282</v>
      </c>
      <c r="B131" s="940" t="s">
        <v>281</v>
      </c>
      <c r="C131" s="941"/>
      <c r="D131" s="942"/>
      <c r="E131" s="933" t="s">
        <v>69</v>
      </c>
      <c r="F131" s="940" t="s">
        <v>15</v>
      </c>
      <c r="G131" s="941"/>
      <c r="H131" s="941"/>
      <c r="I131" s="941"/>
      <c r="J131" s="942"/>
      <c r="K131" s="548"/>
      <c r="L131" s="548"/>
      <c r="M131" s="548"/>
    </row>
    <row r="132" spans="1:13" ht="15.75">
      <c r="A132" s="934"/>
      <c r="B132" s="950"/>
      <c r="C132" s="951"/>
      <c r="D132" s="952"/>
      <c r="E132" s="950"/>
      <c r="F132" s="580" t="s">
        <v>17</v>
      </c>
      <c r="G132" s="580" t="s">
        <v>18</v>
      </c>
      <c r="H132" s="580" t="s">
        <v>19</v>
      </c>
      <c r="I132" s="580" t="s">
        <v>20</v>
      </c>
      <c r="J132" s="580" t="s">
        <v>21</v>
      </c>
      <c r="K132" s="548"/>
      <c r="L132" s="548"/>
      <c r="M132" s="548"/>
    </row>
    <row r="133" spans="1:13" ht="42" customHeight="1">
      <c r="A133" s="382" t="s">
        <v>59</v>
      </c>
      <c r="B133" s="929" t="s">
        <v>279</v>
      </c>
      <c r="C133" s="929"/>
      <c r="D133" s="929"/>
      <c r="E133" s="540" t="s">
        <v>60</v>
      </c>
      <c r="F133" s="540">
        <v>18.7</v>
      </c>
      <c r="G133" s="383">
        <v>18.7</v>
      </c>
      <c r="H133" s="383">
        <v>18.7</v>
      </c>
      <c r="I133" s="383">
        <v>18.7</v>
      </c>
      <c r="J133" s="540">
        <v>18.7</v>
      </c>
      <c r="K133" s="548"/>
      <c r="L133" s="548"/>
      <c r="M133" s="548"/>
    </row>
    <row r="134" spans="1:13" ht="15.75">
      <c r="A134" s="548"/>
      <c r="B134" s="548"/>
      <c r="C134" s="548"/>
      <c r="D134" s="548"/>
      <c r="E134" s="548"/>
      <c r="F134" s="548"/>
      <c r="G134" s="548"/>
      <c r="H134" s="548"/>
      <c r="I134" s="548"/>
      <c r="J134" s="548"/>
      <c r="K134" s="548"/>
      <c r="L134" s="548"/>
      <c r="M134" s="548"/>
    </row>
    <row r="135" spans="1:13" ht="20.25" customHeight="1">
      <c r="A135" s="948" t="s">
        <v>315</v>
      </c>
      <c r="B135" s="949"/>
      <c r="C135" s="949"/>
      <c r="D135" s="949"/>
      <c r="E135" s="949"/>
      <c r="F135" s="949"/>
      <c r="G135" s="949"/>
      <c r="H135" s="949"/>
      <c r="I135" s="949"/>
      <c r="J135" s="949"/>
      <c r="K135" s="949"/>
      <c r="L135" s="949"/>
      <c r="M135" s="949"/>
    </row>
    <row r="136" spans="1:13" ht="1.5" customHeight="1" thickBot="1">
      <c r="A136" s="548"/>
      <c r="B136" s="548"/>
      <c r="C136" s="548"/>
      <c r="D136" s="548"/>
      <c r="E136" s="548"/>
      <c r="F136" s="548"/>
      <c r="G136" s="548"/>
      <c r="H136" s="548"/>
      <c r="I136" s="548"/>
      <c r="J136" s="548"/>
      <c r="K136" s="548"/>
      <c r="L136" s="548"/>
      <c r="M136" s="548"/>
    </row>
    <row r="137" spans="1:13" ht="24" customHeight="1" thickBot="1">
      <c r="A137" s="550" t="s">
        <v>303</v>
      </c>
      <c r="B137" s="921" t="s">
        <v>302</v>
      </c>
      <c r="C137" s="925"/>
      <c r="D137" s="925"/>
      <c r="E137" s="925"/>
      <c r="F137" s="925"/>
      <c r="G137" s="925"/>
      <c r="H137" s="925"/>
      <c r="I137" s="925"/>
      <c r="J137" s="925"/>
      <c r="K137" s="925"/>
      <c r="L137" s="925"/>
      <c r="M137" s="548"/>
    </row>
    <row r="138" spans="1:13" ht="20.25" customHeight="1" thickBot="1">
      <c r="A138" s="551" t="s">
        <v>301</v>
      </c>
      <c r="B138" s="921" t="s">
        <v>367</v>
      </c>
      <c r="C138" s="925"/>
      <c r="D138" s="925"/>
      <c r="E138" s="925"/>
      <c r="F138" s="925"/>
      <c r="G138" s="925"/>
      <c r="H138" s="925"/>
      <c r="I138" s="925"/>
      <c r="J138" s="925"/>
      <c r="K138" s="925"/>
      <c r="L138" s="925"/>
      <c r="M138" s="548"/>
    </row>
    <row r="139" spans="1:13" ht="20.25" customHeight="1" thickBot="1">
      <c r="A139" s="551" t="s">
        <v>299</v>
      </c>
      <c r="B139" s="923" t="s">
        <v>375</v>
      </c>
      <c r="C139" s="924"/>
      <c r="D139" s="924"/>
      <c r="E139" s="924"/>
      <c r="F139" s="924"/>
      <c r="G139" s="924"/>
      <c r="H139" s="924"/>
      <c r="I139" s="924"/>
      <c r="J139" s="924"/>
      <c r="K139" s="924"/>
      <c r="L139" s="924"/>
      <c r="M139" s="548"/>
    </row>
    <row r="140" spans="1:13" ht="29.25" customHeight="1" thickBot="1">
      <c r="A140" s="552" t="s">
        <v>297</v>
      </c>
      <c r="B140" s="922" t="s">
        <v>62</v>
      </c>
      <c r="C140" s="922"/>
      <c r="D140" s="922"/>
      <c r="E140" s="922"/>
      <c r="F140" s="922"/>
      <c r="G140" s="922"/>
      <c r="H140" s="922"/>
      <c r="I140" s="922"/>
      <c r="J140" s="922"/>
      <c r="K140" s="922"/>
      <c r="L140" s="921"/>
      <c r="M140" s="548"/>
    </row>
    <row r="141" spans="1:13" ht="32.25" customHeight="1" thickBot="1">
      <c r="A141" s="551" t="s">
        <v>295</v>
      </c>
      <c r="B141" s="553" t="s">
        <v>294</v>
      </c>
      <c r="C141" s="920" t="s">
        <v>293</v>
      </c>
      <c r="D141" s="921"/>
      <c r="E141" s="554"/>
      <c r="F141" s="920" t="s">
        <v>292</v>
      </c>
      <c r="G141" s="922"/>
      <c r="H141" s="922"/>
      <c r="I141" s="921"/>
      <c r="J141" s="922" t="s">
        <v>291</v>
      </c>
      <c r="K141" s="922"/>
      <c r="L141" s="922"/>
      <c r="M141" s="548"/>
    </row>
    <row r="142" spans="1:13" ht="73.5" customHeight="1" thickBot="1">
      <c r="A142" s="551" t="s">
        <v>290</v>
      </c>
      <c r="B142" s="931" t="s">
        <v>374</v>
      </c>
      <c r="C142" s="932"/>
      <c r="D142" s="932"/>
      <c r="E142" s="932"/>
      <c r="F142" s="932"/>
      <c r="G142" s="932"/>
      <c r="H142" s="932"/>
      <c r="I142" s="932"/>
      <c r="J142" s="932"/>
      <c r="K142" s="932"/>
      <c r="L142" s="932"/>
      <c r="M142" s="548"/>
    </row>
    <row r="143" spans="1:13" ht="26.25" thickBot="1">
      <c r="A143" s="551" t="s">
        <v>288</v>
      </c>
      <c r="B143" s="930" t="s">
        <v>363</v>
      </c>
      <c r="C143" s="925"/>
      <c r="D143" s="925"/>
      <c r="E143" s="925"/>
      <c r="F143" s="925"/>
      <c r="G143" s="925"/>
      <c r="H143" s="925"/>
      <c r="I143" s="925"/>
      <c r="J143" s="925"/>
      <c r="K143" s="925"/>
      <c r="L143" s="925"/>
      <c r="M143" s="548"/>
    </row>
    <row r="144" spans="1:13" ht="0.75" customHeight="1">
      <c r="A144" s="548"/>
      <c r="B144" s="548"/>
      <c r="C144" s="548"/>
      <c r="D144" s="548"/>
      <c r="E144" s="548"/>
      <c r="F144" s="548"/>
      <c r="G144" s="548"/>
      <c r="H144" s="548"/>
      <c r="I144" s="548"/>
      <c r="J144" s="548"/>
      <c r="K144" s="548"/>
      <c r="L144" s="548"/>
      <c r="M144" s="548"/>
    </row>
    <row r="145" spans="1:13" ht="20.25" customHeight="1">
      <c r="A145" s="555" t="s">
        <v>286</v>
      </c>
      <c r="B145" s="548"/>
      <c r="C145" s="548"/>
      <c r="D145" s="548"/>
      <c r="E145" s="548"/>
      <c r="F145" s="548"/>
      <c r="G145" s="548"/>
      <c r="H145" s="548"/>
      <c r="I145" s="548"/>
      <c r="J145" s="548"/>
      <c r="K145" s="548"/>
      <c r="L145" s="548"/>
      <c r="M145" s="548"/>
    </row>
    <row r="146" spans="1:13" ht="18.75" customHeight="1" thickBot="1">
      <c r="A146" s="392" t="s">
        <v>283</v>
      </c>
      <c r="B146" s="548" t="s">
        <v>61</v>
      </c>
      <c r="C146" s="548"/>
      <c r="D146" s="548"/>
      <c r="E146" s="548"/>
      <c r="F146" s="548"/>
      <c r="G146" s="548"/>
      <c r="H146" s="548"/>
      <c r="I146" s="548"/>
      <c r="J146" s="548"/>
      <c r="K146" s="548"/>
      <c r="L146" s="556" t="s">
        <v>285</v>
      </c>
      <c r="M146" s="548"/>
    </row>
    <row r="147" spans="1:13" ht="27.75" customHeight="1">
      <c r="A147" s="933" t="s">
        <v>278</v>
      </c>
      <c r="B147" s="926" t="s">
        <v>262</v>
      </c>
      <c r="C147" s="927"/>
      <c r="D147" s="927"/>
      <c r="E147" s="557"/>
      <c r="F147" s="929" t="s">
        <v>261</v>
      </c>
      <c r="G147" s="929"/>
      <c r="H147" s="929"/>
      <c r="I147" s="926" t="s">
        <v>260</v>
      </c>
      <c r="J147" s="927"/>
      <c r="K147" s="927"/>
      <c r="L147" s="928"/>
      <c r="M147" s="558" t="s">
        <v>259</v>
      </c>
    </row>
    <row r="148" spans="1:13" ht="13.5" customHeight="1">
      <c r="A148" s="934"/>
      <c r="B148" s="936" t="s">
        <v>258</v>
      </c>
      <c r="C148" s="926" t="s">
        <v>256</v>
      </c>
      <c r="D148" s="927"/>
      <c r="E148" s="928"/>
      <c r="F148" s="936" t="s">
        <v>257</v>
      </c>
      <c r="G148" s="926" t="s">
        <v>256</v>
      </c>
      <c r="H148" s="943"/>
      <c r="I148" s="936" t="s">
        <v>257</v>
      </c>
      <c r="J148" s="967" t="s">
        <v>256</v>
      </c>
      <c r="K148" s="968"/>
      <c r="L148" s="969"/>
      <c r="M148" s="559"/>
    </row>
    <row r="149" spans="1:13" ht="64.5" thickBot="1">
      <c r="A149" s="935"/>
      <c r="B149" s="937"/>
      <c r="C149" s="560" t="s">
        <v>252</v>
      </c>
      <c r="D149" s="560" t="s">
        <v>277</v>
      </c>
      <c r="E149" s="560" t="s">
        <v>276</v>
      </c>
      <c r="F149" s="938"/>
      <c r="G149" s="560" t="s">
        <v>275</v>
      </c>
      <c r="H149" s="560" t="s">
        <v>253</v>
      </c>
      <c r="I149" s="938"/>
      <c r="J149" s="560" t="s">
        <v>252</v>
      </c>
      <c r="K149" s="560" t="s">
        <v>251</v>
      </c>
      <c r="L149" s="560" t="s">
        <v>274</v>
      </c>
      <c r="M149" s="561"/>
    </row>
    <row r="150" spans="1:13" ht="15.75">
      <c r="A150" s="560" t="s">
        <v>19</v>
      </c>
      <c r="B150" s="562">
        <f>C150+D150+E150</f>
        <v>1514.8000000000002</v>
      </c>
      <c r="C150" s="563">
        <f>'прил 4-1'!G18</f>
        <v>1514.8000000000002</v>
      </c>
      <c r="D150" s="563"/>
      <c r="E150" s="563"/>
      <c r="F150" s="563"/>
      <c r="G150" s="563"/>
      <c r="H150" s="563"/>
      <c r="I150" s="562">
        <f>J150+K150+L150</f>
        <v>0</v>
      </c>
      <c r="J150" s="563"/>
      <c r="K150" s="563"/>
      <c r="L150" s="561"/>
      <c r="M150" s="564">
        <f>B150+F150+I150</f>
        <v>1514.8000000000002</v>
      </c>
    </row>
    <row r="151" spans="1:13" ht="15.75">
      <c r="A151" s="580" t="s">
        <v>20</v>
      </c>
      <c r="B151" s="581">
        <f>C151+D151+E151</f>
        <v>1514.8000000000002</v>
      </c>
      <c r="C151" s="582">
        <f>C150</f>
        <v>1514.8000000000002</v>
      </c>
      <c r="D151" s="582"/>
      <c r="E151" s="582"/>
      <c r="F151" s="582"/>
      <c r="G151" s="582"/>
      <c r="H151" s="582"/>
      <c r="I151" s="581">
        <f>J151+K151+L151</f>
        <v>0</v>
      </c>
      <c r="J151" s="582"/>
      <c r="K151" s="582"/>
      <c r="L151" s="583"/>
      <c r="M151" s="584">
        <f>B151+F151+I151</f>
        <v>1514.8000000000002</v>
      </c>
    </row>
    <row r="152" spans="1:60" s="267" customFormat="1" ht="15.75">
      <c r="A152" s="560" t="s">
        <v>490</v>
      </c>
      <c r="B152" s="562">
        <f>C152+D152+E152</f>
        <v>1514.8000000000002</v>
      </c>
      <c r="C152" s="563">
        <f>C151</f>
        <v>1514.8000000000002</v>
      </c>
      <c r="D152" s="563"/>
      <c r="E152" s="563"/>
      <c r="F152" s="563"/>
      <c r="G152" s="563"/>
      <c r="H152" s="563"/>
      <c r="I152" s="562">
        <f>J152+K152+L152</f>
        <v>0</v>
      </c>
      <c r="J152" s="563"/>
      <c r="K152" s="563"/>
      <c r="L152" s="561"/>
      <c r="M152" s="585">
        <f>B152+F152+I152</f>
        <v>1514.8000000000002</v>
      </c>
      <c r="N152" s="939"/>
      <c r="O152" s="939"/>
      <c r="P152" s="939"/>
      <c r="Q152" s="939"/>
      <c r="R152" s="939"/>
      <c r="S152" s="939"/>
      <c r="T152" s="939"/>
      <c r="U152" s="939"/>
      <c r="V152" s="939"/>
      <c r="W152" s="939"/>
      <c r="X152" s="939"/>
      <c r="Y152" s="939"/>
      <c r="Z152" s="939"/>
      <c r="AA152" s="939"/>
      <c r="AB152" s="939"/>
      <c r="AC152" s="939"/>
      <c r="AD152" s="939"/>
      <c r="AE152" s="939"/>
      <c r="AF152" s="939"/>
      <c r="AG152" s="939"/>
      <c r="AH152" s="939"/>
      <c r="AI152" s="939"/>
      <c r="AJ152" s="939"/>
      <c r="AK152" s="939"/>
      <c r="AL152" s="939"/>
      <c r="AM152" s="939"/>
      <c r="AN152" s="939"/>
      <c r="AO152" s="939"/>
      <c r="AP152" s="939"/>
      <c r="AQ152" s="939"/>
      <c r="AR152" s="939"/>
      <c r="AS152" s="939"/>
      <c r="AT152" s="939"/>
      <c r="AU152" s="939"/>
      <c r="AV152" s="939"/>
      <c r="AW152" s="939"/>
      <c r="AX152" s="939"/>
      <c r="AY152" s="939"/>
      <c r="AZ152" s="939"/>
      <c r="BA152" s="939"/>
      <c r="BB152" s="939"/>
      <c r="BC152" s="939"/>
      <c r="BD152" s="939"/>
      <c r="BE152" s="939"/>
      <c r="BF152" s="939"/>
      <c r="BG152" s="939"/>
      <c r="BH152" s="385"/>
    </row>
    <row r="153" spans="1:13" ht="25.5" customHeight="1">
      <c r="A153" s="548"/>
      <c r="B153" s="565"/>
      <c r="C153" s="565"/>
      <c r="D153" s="565"/>
      <c r="E153" s="565"/>
      <c r="F153" s="565"/>
      <c r="G153" s="565"/>
      <c r="H153" s="565"/>
      <c r="I153" s="565"/>
      <c r="J153" s="565"/>
      <c r="K153" s="565"/>
      <c r="L153" s="565"/>
      <c r="M153" s="548"/>
    </row>
    <row r="154" spans="1:13" ht="15.75">
      <c r="A154" s="392" t="s">
        <v>284</v>
      </c>
      <c r="B154" s="548"/>
      <c r="C154" s="548"/>
      <c r="D154" s="548"/>
      <c r="E154" s="548"/>
      <c r="F154" s="548"/>
      <c r="G154" s="548"/>
      <c r="H154" s="548"/>
      <c r="I154" s="548"/>
      <c r="J154" s="548"/>
      <c r="K154" s="548"/>
      <c r="L154" s="548"/>
      <c r="M154" s="548"/>
    </row>
    <row r="155" spans="1:13" ht="22.5" customHeight="1" thickBot="1">
      <c r="A155" s="392" t="s">
        <v>283</v>
      </c>
      <c r="B155" s="392" t="s">
        <v>61</v>
      </c>
      <c r="C155" s="567"/>
      <c r="D155" s="567"/>
      <c r="E155" s="548"/>
      <c r="F155" s="548"/>
      <c r="G155" s="548"/>
      <c r="H155" s="548"/>
      <c r="I155" s="548"/>
      <c r="J155" s="548"/>
      <c r="K155" s="548"/>
      <c r="L155" s="548"/>
      <c r="M155" s="548"/>
    </row>
    <row r="156" spans="1:13" ht="30.75" customHeight="1">
      <c r="A156" s="933" t="s">
        <v>282</v>
      </c>
      <c r="B156" s="940" t="s">
        <v>281</v>
      </c>
      <c r="C156" s="941"/>
      <c r="D156" s="942"/>
      <c r="E156" s="933" t="s">
        <v>69</v>
      </c>
      <c r="F156" s="940" t="s">
        <v>15</v>
      </c>
      <c r="G156" s="941"/>
      <c r="H156" s="941"/>
      <c r="I156" s="941"/>
      <c r="J156" s="942"/>
      <c r="K156" s="548"/>
      <c r="L156" s="548"/>
      <c r="M156" s="548"/>
    </row>
    <row r="157" spans="1:13" ht="16.5" thickBot="1">
      <c r="A157" s="935"/>
      <c r="B157" s="953"/>
      <c r="C157" s="970"/>
      <c r="D157" s="971"/>
      <c r="E157" s="935"/>
      <c r="F157" s="569" t="s">
        <v>17</v>
      </c>
      <c r="G157" s="569" t="s">
        <v>18</v>
      </c>
      <c r="H157" s="569" t="s">
        <v>19</v>
      </c>
      <c r="I157" s="569" t="s">
        <v>20</v>
      </c>
      <c r="J157" s="569" t="s">
        <v>21</v>
      </c>
      <c r="K157" s="548"/>
      <c r="L157" s="548"/>
      <c r="M157" s="548"/>
    </row>
    <row r="158" spans="1:13" ht="51">
      <c r="A158" s="327" t="s">
        <v>63</v>
      </c>
      <c r="B158" s="980"/>
      <c r="C158" s="980"/>
      <c r="D158" s="980"/>
      <c r="E158" s="541" t="s">
        <v>64</v>
      </c>
      <c r="F158" s="541">
        <v>3</v>
      </c>
      <c r="G158" s="541" t="s">
        <v>373</v>
      </c>
      <c r="H158" s="541" t="s">
        <v>373</v>
      </c>
      <c r="I158" s="541" t="s">
        <v>373</v>
      </c>
      <c r="J158" s="328" t="s">
        <v>373</v>
      </c>
      <c r="K158" s="548"/>
      <c r="L158" s="548"/>
      <c r="M158" s="548"/>
    </row>
    <row r="159" spans="1:13" ht="15.75">
      <c r="A159" s="548"/>
      <c r="B159" s="548"/>
      <c r="C159" s="548"/>
      <c r="D159" s="548"/>
      <c r="E159" s="548"/>
      <c r="F159" s="548"/>
      <c r="G159" s="548"/>
      <c r="H159" s="548"/>
      <c r="I159" s="548"/>
      <c r="J159" s="548"/>
      <c r="K159" s="548"/>
      <c r="L159" s="548"/>
      <c r="M159" s="548"/>
    </row>
    <row r="160" spans="1:13" ht="20.25" customHeight="1">
      <c r="A160" s="948" t="s">
        <v>315</v>
      </c>
      <c r="B160" s="949"/>
      <c r="C160" s="949"/>
      <c r="D160" s="949"/>
      <c r="E160" s="949"/>
      <c r="F160" s="949"/>
      <c r="G160" s="949"/>
      <c r="H160" s="949"/>
      <c r="I160" s="949"/>
      <c r="J160" s="949"/>
      <c r="K160" s="949"/>
      <c r="L160" s="949"/>
      <c r="M160" s="949"/>
    </row>
    <row r="161" spans="1:13" ht="1.5" customHeight="1" thickBot="1">
      <c r="A161" s="548"/>
      <c r="B161" s="548"/>
      <c r="C161" s="548"/>
      <c r="D161" s="548"/>
      <c r="E161" s="548"/>
      <c r="F161" s="548"/>
      <c r="G161" s="548"/>
      <c r="H161" s="548"/>
      <c r="I161" s="548"/>
      <c r="J161" s="548"/>
      <c r="K161" s="548"/>
      <c r="L161" s="548"/>
      <c r="M161" s="548"/>
    </row>
    <row r="162" spans="1:13" ht="24" customHeight="1" thickBot="1">
      <c r="A162" s="550" t="s">
        <v>303</v>
      </c>
      <c r="B162" s="921" t="s">
        <v>302</v>
      </c>
      <c r="C162" s="925"/>
      <c r="D162" s="925"/>
      <c r="E162" s="925"/>
      <c r="F162" s="925"/>
      <c r="G162" s="925"/>
      <c r="H162" s="925"/>
      <c r="I162" s="925"/>
      <c r="J162" s="925"/>
      <c r="K162" s="925"/>
      <c r="L162" s="925"/>
      <c r="M162" s="548"/>
    </row>
    <row r="163" spans="1:13" ht="20.25" customHeight="1" thickBot="1">
      <c r="A163" s="551" t="s">
        <v>301</v>
      </c>
      <c r="B163" s="921" t="s">
        <v>367</v>
      </c>
      <c r="C163" s="925"/>
      <c r="D163" s="925"/>
      <c r="E163" s="925"/>
      <c r="F163" s="925"/>
      <c r="G163" s="925"/>
      <c r="H163" s="925"/>
      <c r="I163" s="925"/>
      <c r="J163" s="925"/>
      <c r="K163" s="925"/>
      <c r="L163" s="925"/>
      <c r="M163" s="548"/>
    </row>
    <row r="164" spans="1:13" ht="16.5" thickBot="1">
      <c r="A164" s="551" t="s">
        <v>299</v>
      </c>
      <c r="B164" s="923" t="s">
        <v>372</v>
      </c>
      <c r="C164" s="924"/>
      <c r="D164" s="924"/>
      <c r="E164" s="924"/>
      <c r="F164" s="924"/>
      <c r="G164" s="924"/>
      <c r="H164" s="924"/>
      <c r="I164" s="924"/>
      <c r="J164" s="924"/>
      <c r="K164" s="924"/>
      <c r="L164" s="924"/>
      <c r="M164" s="548"/>
    </row>
    <row r="165" spans="1:13" ht="29.25" customHeight="1" thickBot="1">
      <c r="A165" s="552" t="s">
        <v>297</v>
      </c>
      <c r="B165" s="922" t="s">
        <v>494</v>
      </c>
      <c r="C165" s="922"/>
      <c r="D165" s="922"/>
      <c r="E165" s="922"/>
      <c r="F165" s="922"/>
      <c r="G165" s="922"/>
      <c r="H165" s="922"/>
      <c r="I165" s="922"/>
      <c r="J165" s="922"/>
      <c r="K165" s="922"/>
      <c r="L165" s="921"/>
      <c r="M165" s="548"/>
    </row>
    <row r="166" spans="1:13" ht="32.25" customHeight="1" thickBot="1">
      <c r="A166" s="551" t="s">
        <v>295</v>
      </c>
      <c r="B166" s="553" t="s">
        <v>294</v>
      </c>
      <c r="C166" s="920" t="s">
        <v>293</v>
      </c>
      <c r="D166" s="921"/>
      <c r="E166" s="554"/>
      <c r="F166" s="920" t="s">
        <v>292</v>
      </c>
      <c r="G166" s="922"/>
      <c r="H166" s="922"/>
      <c r="I166" s="921"/>
      <c r="J166" s="922" t="s">
        <v>291</v>
      </c>
      <c r="K166" s="922"/>
      <c r="L166" s="922"/>
      <c r="M166" s="548"/>
    </row>
    <row r="167" spans="1:13" ht="64.5" customHeight="1" thickBot="1">
      <c r="A167" s="551" t="s">
        <v>290</v>
      </c>
      <c r="B167" s="931" t="s">
        <v>371</v>
      </c>
      <c r="C167" s="932"/>
      <c r="D167" s="932"/>
      <c r="E167" s="932"/>
      <c r="F167" s="932"/>
      <c r="G167" s="932"/>
      <c r="H167" s="932"/>
      <c r="I167" s="932"/>
      <c r="J167" s="932"/>
      <c r="K167" s="932"/>
      <c r="L167" s="932"/>
      <c r="M167" s="548"/>
    </row>
    <row r="168" spans="1:13" ht="26.25" thickBot="1">
      <c r="A168" s="551" t="s">
        <v>288</v>
      </c>
      <c r="B168" s="930" t="s">
        <v>363</v>
      </c>
      <c r="C168" s="925"/>
      <c r="D168" s="925"/>
      <c r="E168" s="925"/>
      <c r="F168" s="925"/>
      <c r="G168" s="925"/>
      <c r="H168" s="925"/>
      <c r="I168" s="925"/>
      <c r="J168" s="925"/>
      <c r="K168" s="925"/>
      <c r="L168" s="925"/>
      <c r="M168" s="548"/>
    </row>
    <row r="169" spans="1:13" ht="0.75" customHeight="1">
      <c r="A169" s="548"/>
      <c r="B169" s="548"/>
      <c r="C169" s="548"/>
      <c r="D169" s="548"/>
      <c r="E169" s="548"/>
      <c r="F169" s="548"/>
      <c r="G169" s="548"/>
      <c r="H169" s="548"/>
      <c r="I169" s="548"/>
      <c r="J169" s="548"/>
      <c r="K169" s="548"/>
      <c r="L169" s="548"/>
      <c r="M169" s="548"/>
    </row>
    <row r="170" spans="1:13" ht="20.25" customHeight="1">
      <c r="A170" s="555" t="s">
        <v>286</v>
      </c>
      <c r="B170" s="548"/>
      <c r="C170" s="548"/>
      <c r="D170" s="548"/>
      <c r="E170" s="548"/>
      <c r="F170" s="548"/>
      <c r="G170" s="548"/>
      <c r="H170" s="548"/>
      <c r="I170" s="548"/>
      <c r="J170" s="548"/>
      <c r="K170" s="548"/>
      <c r="L170" s="548"/>
      <c r="M170" s="548"/>
    </row>
    <row r="171" spans="1:13" ht="18.75" customHeight="1" thickBot="1">
      <c r="A171" s="392" t="s">
        <v>283</v>
      </c>
      <c r="B171" s="548" t="s">
        <v>370</v>
      </c>
      <c r="C171" s="548"/>
      <c r="D171" s="548"/>
      <c r="E171" s="548"/>
      <c r="F171" s="548"/>
      <c r="G171" s="548"/>
      <c r="H171" s="548"/>
      <c r="I171" s="548"/>
      <c r="J171" s="548"/>
      <c r="K171" s="548"/>
      <c r="L171" s="556" t="s">
        <v>285</v>
      </c>
      <c r="M171" s="548"/>
    </row>
    <row r="172" spans="1:13" ht="27.75" customHeight="1">
      <c r="A172" s="933" t="s">
        <v>278</v>
      </c>
      <c r="B172" s="926" t="s">
        <v>262</v>
      </c>
      <c r="C172" s="927"/>
      <c r="D172" s="927"/>
      <c r="E172" s="557"/>
      <c r="F172" s="929" t="s">
        <v>261</v>
      </c>
      <c r="G172" s="929"/>
      <c r="H172" s="929"/>
      <c r="I172" s="926" t="s">
        <v>260</v>
      </c>
      <c r="J172" s="927"/>
      <c r="K172" s="927"/>
      <c r="L172" s="928"/>
      <c r="M172" s="558" t="s">
        <v>259</v>
      </c>
    </row>
    <row r="173" spans="1:13" ht="13.5" customHeight="1">
      <c r="A173" s="934"/>
      <c r="B173" s="936" t="s">
        <v>258</v>
      </c>
      <c r="C173" s="926" t="s">
        <v>256</v>
      </c>
      <c r="D173" s="927"/>
      <c r="E173" s="928"/>
      <c r="F173" s="936" t="s">
        <v>257</v>
      </c>
      <c r="G173" s="926" t="s">
        <v>256</v>
      </c>
      <c r="H173" s="943"/>
      <c r="I173" s="936" t="s">
        <v>257</v>
      </c>
      <c r="J173" s="967" t="s">
        <v>256</v>
      </c>
      <c r="K173" s="968"/>
      <c r="L173" s="969"/>
      <c r="M173" s="559"/>
    </row>
    <row r="174" spans="1:13" ht="64.5" thickBot="1">
      <c r="A174" s="935"/>
      <c r="B174" s="937"/>
      <c r="C174" s="560" t="s">
        <v>252</v>
      </c>
      <c r="D174" s="560" t="s">
        <v>277</v>
      </c>
      <c r="E174" s="560" t="s">
        <v>276</v>
      </c>
      <c r="F174" s="938"/>
      <c r="G174" s="560" t="s">
        <v>275</v>
      </c>
      <c r="H174" s="560" t="s">
        <v>253</v>
      </c>
      <c r="I174" s="938"/>
      <c r="J174" s="560" t="s">
        <v>252</v>
      </c>
      <c r="K174" s="560" t="s">
        <v>251</v>
      </c>
      <c r="L174" s="560" t="s">
        <v>274</v>
      </c>
      <c r="M174" s="561"/>
    </row>
    <row r="175" spans="1:19" ht="15.75">
      <c r="A175" s="560" t="s">
        <v>19</v>
      </c>
      <c r="B175" s="562">
        <f>C175+D175+E175</f>
        <v>2734.6000000000004</v>
      </c>
      <c r="C175" s="563">
        <f>'прил 4-1'!G19</f>
        <v>2734.6000000000004</v>
      </c>
      <c r="D175" s="563"/>
      <c r="E175" s="563"/>
      <c r="F175" s="563"/>
      <c r="G175" s="563"/>
      <c r="H175" s="563"/>
      <c r="I175" s="562">
        <f>J175+K175+L175</f>
        <v>0</v>
      </c>
      <c r="J175" s="563"/>
      <c r="K175" s="563"/>
      <c r="L175" s="561"/>
      <c r="M175" s="564">
        <f>B175+F175+I175</f>
        <v>2734.6000000000004</v>
      </c>
      <c r="S175" s="257"/>
    </row>
    <row r="176" spans="1:19" ht="15.75">
      <c r="A176" s="560" t="s">
        <v>20</v>
      </c>
      <c r="B176" s="562">
        <f>C176+D176+E176</f>
        <v>2734.6000000000004</v>
      </c>
      <c r="C176" s="563">
        <f>C175</f>
        <v>2734.6000000000004</v>
      </c>
      <c r="D176" s="563"/>
      <c r="E176" s="563"/>
      <c r="F176" s="563"/>
      <c r="G176" s="563"/>
      <c r="H176" s="563"/>
      <c r="I176" s="562">
        <f>J176+K176+L176</f>
        <v>0</v>
      </c>
      <c r="J176" s="563"/>
      <c r="K176" s="563"/>
      <c r="L176" s="561"/>
      <c r="M176" s="564">
        <f>B176+F176+I176</f>
        <v>2734.6000000000004</v>
      </c>
      <c r="S176" s="257"/>
    </row>
    <row r="177" spans="1:19" ht="15.75">
      <c r="A177" s="560" t="s">
        <v>21</v>
      </c>
      <c r="B177" s="562">
        <f>C177+D177+E177</f>
        <v>2898.7000000000003</v>
      </c>
      <c r="C177" s="563">
        <f>C176</f>
        <v>2734.6000000000004</v>
      </c>
      <c r="D177" s="563">
        <v>164.1</v>
      </c>
      <c r="E177" s="563"/>
      <c r="F177" s="563"/>
      <c r="G177" s="563"/>
      <c r="H177" s="563"/>
      <c r="I177" s="562">
        <f>J177+K177+L177</f>
        <v>0</v>
      </c>
      <c r="J177" s="563"/>
      <c r="K177" s="563"/>
      <c r="L177" s="561"/>
      <c r="M177" s="564">
        <f>B177+F177+I177</f>
        <v>2898.7000000000003</v>
      </c>
      <c r="S177" s="257"/>
    </row>
    <row r="178" spans="1:13" ht="24.75" customHeight="1">
      <c r="A178" s="548"/>
      <c r="B178" s="565"/>
      <c r="C178" s="565"/>
      <c r="D178" s="565"/>
      <c r="E178" s="565"/>
      <c r="F178" s="565"/>
      <c r="G178" s="565"/>
      <c r="H178" s="565"/>
      <c r="I178" s="565"/>
      <c r="J178" s="565"/>
      <c r="K178" s="565"/>
      <c r="L178" s="565"/>
      <c r="M178" s="548"/>
    </row>
    <row r="179" spans="1:13" ht="15.75">
      <c r="A179" s="392" t="s">
        <v>284</v>
      </c>
      <c r="B179" s="548"/>
      <c r="C179" s="548"/>
      <c r="D179" s="548"/>
      <c r="E179" s="548"/>
      <c r="F179" s="548"/>
      <c r="G179" s="548"/>
      <c r="H179" s="548"/>
      <c r="I179" s="548"/>
      <c r="J179" s="548"/>
      <c r="K179" s="548"/>
      <c r="L179" s="548"/>
      <c r="M179" s="548"/>
    </row>
    <row r="180" spans="1:13" ht="22.5" customHeight="1" thickBot="1">
      <c r="A180" s="392" t="s">
        <v>283</v>
      </c>
      <c r="B180" s="392" t="s">
        <v>370</v>
      </c>
      <c r="C180" s="567"/>
      <c r="D180" s="567"/>
      <c r="E180" s="548"/>
      <c r="F180" s="548"/>
      <c r="G180" s="548"/>
      <c r="H180" s="548"/>
      <c r="I180" s="548"/>
      <c r="J180" s="548"/>
      <c r="K180" s="548"/>
      <c r="L180" s="548"/>
      <c r="M180" s="548"/>
    </row>
    <row r="181" spans="1:13" ht="15.75" customHeight="1">
      <c r="A181" s="933" t="s">
        <v>282</v>
      </c>
      <c r="B181" s="940" t="s">
        <v>281</v>
      </c>
      <c r="C181" s="941"/>
      <c r="D181" s="942"/>
      <c r="E181" s="933" t="s">
        <v>69</v>
      </c>
      <c r="F181" s="940" t="s">
        <v>15</v>
      </c>
      <c r="G181" s="941"/>
      <c r="H181" s="941"/>
      <c r="I181" s="941"/>
      <c r="J181" s="942"/>
      <c r="K181" s="548"/>
      <c r="L181" s="548"/>
      <c r="M181" s="548"/>
    </row>
    <row r="182" spans="1:13" ht="16.5" thickBot="1">
      <c r="A182" s="935"/>
      <c r="B182" s="950"/>
      <c r="C182" s="951"/>
      <c r="D182" s="952"/>
      <c r="E182" s="934"/>
      <c r="F182" s="586" t="s">
        <v>17</v>
      </c>
      <c r="G182" s="586" t="s">
        <v>18</v>
      </c>
      <c r="H182" s="586" t="s">
        <v>19</v>
      </c>
      <c r="I182" s="586" t="s">
        <v>20</v>
      </c>
      <c r="J182" s="586" t="s">
        <v>21</v>
      </c>
      <c r="K182" s="548"/>
      <c r="L182" s="548"/>
      <c r="M182" s="548"/>
    </row>
    <row r="183" spans="1:13" ht="72.75" customHeight="1">
      <c r="A183" s="386" t="s">
        <v>242</v>
      </c>
      <c r="B183" s="929"/>
      <c r="C183" s="929"/>
      <c r="D183" s="929"/>
      <c r="E183" s="560" t="s">
        <v>64</v>
      </c>
      <c r="F183" s="560">
        <v>2</v>
      </c>
      <c r="G183" s="560">
        <v>2</v>
      </c>
      <c r="H183" s="560">
        <v>2</v>
      </c>
      <c r="I183" s="560">
        <v>2</v>
      </c>
      <c r="J183" s="560">
        <v>2</v>
      </c>
      <c r="K183" s="548"/>
      <c r="L183" s="548"/>
      <c r="M183" s="548"/>
    </row>
    <row r="184" spans="1:13" ht="63.75">
      <c r="A184" s="386" t="s">
        <v>70</v>
      </c>
      <c r="B184" s="938" t="s">
        <v>495</v>
      </c>
      <c r="C184" s="938"/>
      <c r="D184" s="938"/>
      <c r="E184" s="388" t="s">
        <v>38</v>
      </c>
      <c r="F184" s="389">
        <v>100</v>
      </c>
      <c r="G184" s="362">
        <v>100</v>
      </c>
      <c r="H184" s="362">
        <v>100</v>
      </c>
      <c r="I184" s="362">
        <v>100</v>
      </c>
      <c r="J184" s="390">
        <v>100</v>
      </c>
      <c r="K184" s="548"/>
      <c r="L184" s="548"/>
      <c r="M184" s="548"/>
    </row>
    <row r="185" spans="1:13" ht="15.75">
      <c r="A185" s="324"/>
      <c r="B185" s="565"/>
      <c r="C185" s="565"/>
      <c r="D185" s="565"/>
      <c r="E185" s="322"/>
      <c r="F185" s="322"/>
      <c r="G185" s="323"/>
      <c r="H185" s="323"/>
      <c r="I185" s="323"/>
      <c r="J185" s="322"/>
      <c r="K185" s="548"/>
      <c r="L185" s="548"/>
      <c r="M185" s="548"/>
    </row>
    <row r="186" spans="1:13" ht="20.25" customHeight="1">
      <c r="A186" s="948" t="s">
        <v>315</v>
      </c>
      <c r="B186" s="949"/>
      <c r="C186" s="949"/>
      <c r="D186" s="949"/>
      <c r="E186" s="949"/>
      <c r="F186" s="949"/>
      <c r="G186" s="949"/>
      <c r="H186" s="949"/>
      <c r="I186" s="949"/>
      <c r="J186" s="949"/>
      <c r="K186" s="949"/>
      <c r="L186" s="949"/>
      <c r="M186" s="949"/>
    </row>
    <row r="187" spans="1:13" ht="1.5" customHeight="1" thickBot="1">
      <c r="A187" s="548"/>
      <c r="B187" s="548"/>
      <c r="C187" s="548"/>
      <c r="D187" s="548"/>
      <c r="E187" s="548"/>
      <c r="F187" s="548"/>
      <c r="G187" s="548"/>
      <c r="H187" s="548"/>
      <c r="I187" s="548"/>
      <c r="J187" s="548"/>
      <c r="K187" s="548"/>
      <c r="L187" s="548"/>
      <c r="M187" s="548"/>
    </row>
    <row r="188" spans="1:13" ht="24" customHeight="1" thickBot="1">
      <c r="A188" s="550" t="s">
        <v>303</v>
      </c>
      <c r="B188" s="921" t="s">
        <v>302</v>
      </c>
      <c r="C188" s="925"/>
      <c r="D188" s="925"/>
      <c r="E188" s="925"/>
      <c r="F188" s="925"/>
      <c r="G188" s="925"/>
      <c r="H188" s="925"/>
      <c r="I188" s="925"/>
      <c r="J188" s="925"/>
      <c r="K188" s="925"/>
      <c r="L188" s="925"/>
      <c r="M188" s="548"/>
    </row>
    <row r="189" spans="1:13" ht="20.25" customHeight="1" thickBot="1">
      <c r="A189" s="551" t="s">
        <v>301</v>
      </c>
      <c r="B189" s="921" t="s">
        <v>367</v>
      </c>
      <c r="C189" s="925"/>
      <c r="D189" s="925"/>
      <c r="E189" s="925"/>
      <c r="F189" s="925"/>
      <c r="G189" s="925"/>
      <c r="H189" s="925"/>
      <c r="I189" s="925"/>
      <c r="J189" s="925"/>
      <c r="K189" s="925"/>
      <c r="L189" s="925"/>
      <c r="M189" s="548"/>
    </row>
    <row r="190" spans="1:13" ht="39" customHeight="1" thickBot="1">
      <c r="A190" s="551" t="s">
        <v>299</v>
      </c>
      <c r="B190" s="923" t="s">
        <v>496</v>
      </c>
      <c r="C190" s="924"/>
      <c r="D190" s="924"/>
      <c r="E190" s="924"/>
      <c r="F190" s="924"/>
      <c r="G190" s="924"/>
      <c r="H190" s="924"/>
      <c r="I190" s="924"/>
      <c r="J190" s="924"/>
      <c r="K190" s="924"/>
      <c r="L190" s="924"/>
      <c r="M190" s="548"/>
    </row>
    <row r="191" spans="1:13" ht="29.25" customHeight="1" thickBot="1">
      <c r="A191" s="552" t="s">
        <v>297</v>
      </c>
      <c r="B191" s="922" t="s">
        <v>369</v>
      </c>
      <c r="C191" s="922"/>
      <c r="D191" s="922"/>
      <c r="E191" s="922"/>
      <c r="F191" s="922"/>
      <c r="G191" s="922"/>
      <c r="H191" s="922"/>
      <c r="I191" s="922"/>
      <c r="J191" s="922"/>
      <c r="K191" s="922"/>
      <c r="L191" s="921"/>
      <c r="M191" s="548"/>
    </row>
    <row r="192" spans="1:13" ht="32.25" customHeight="1" thickBot="1">
      <c r="A192" s="551" t="s">
        <v>295</v>
      </c>
      <c r="B192" s="553" t="s">
        <v>294</v>
      </c>
      <c r="C192" s="920" t="s">
        <v>293</v>
      </c>
      <c r="D192" s="921"/>
      <c r="E192" s="554"/>
      <c r="F192" s="920" t="s">
        <v>292</v>
      </c>
      <c r="G192" s="922"/>
      <c r="H192" s="922"/>
      <c r="I192" s="921"/>
      <c r="J192" s="922" t="s">
        <v>291</v>
      </c>
      <c r="K192" s="922"/>
      <c r="L192" s="922"/>
      <c r="M192" s="548"/>
    </row>
    <row r="193" spans="1:13" ht="56.25" customHeight="1" thickBot="1">
      <c r="A193" s="551" t="s">
        <v>290</v>
      </c>
      <c r="B193" s="944" t="s">
        <v>497</v>
      </c>
      <c r="C193" s="945"/>
      <c r="D193" s="945"/>
      <c r="E193" s="945"/>
      <c r="F193" s="945"/>
      <c r="G193" s="945"/>
      <c r="H193" s="945"/>
      <c r="I193" s="945"/>
      <c r="J193" s="945"/>
      <c r="K193" s="945"/>
      <c r="L193" s="931"/>
      <c r="M193" s="548"/>
    </row>
    <row r="194" spans="1:13" ht="45" customHeight="1" thickBot="1">
      <c r="A194" s="551" t="s">
        <v>288</v>
      </c>
      <c r="B194" s="946" t="s">
        <v>519</v>
      </c>
      <c r="C194" s="947"/>
      <c r="D194" s="947"/>
      <c r="E194" s="947"/>
      <c r="F194" s="947"/>
      <c r="G194" s="947"/>
      <c r="H194" s="947"/>
      <c r="I194" s="947"/>
      <c r="J194" s="947"/>
      <c r="K194" s="947"/>
      <c r="L194" s="947"/>
      <c r="M194" s="548"/>
    </row>
    <row r="195" spans="1:13" ht="15.75">
      <c r="A195" s="548"/>
      <c r="B195" s="548"/>
      <c r="C195" s="548"/>
      <c r="D195" s="548"/>
      <c r="E195" s="548"/>
      <c r="F195" s="548"/>
      <c r="G195" s="548"/>
      <c r="H195" s="548"/>
      <c r="I195" s="548"/>
      <c r="J195" s="548"/>
      <c r="K195" s="548"/>
      <c r="L195" s="548"/>
      <c r="M195" s="548"/>
    </row>
    <row r="196" spans="1:13" ht="20.25" customHeight="1">
      <c r="A196" s="555" t="s">
        <v>286</v>
      </c>
      <c r="B196" s="548"/>
      <c r="C196" s="548"/>
      <c r="D196" s="548"/>
      <c r="E196" s="548"/>
      <c r="F196" s="548"/>
      <c r="G196" s="548"/>
      <c r="H196" s="548"/>
      <c r="I196" s="548"/>
      <c r="J196" s="548"/>
      <c r="K196" s="548"/>
      <c r="L196" s="548"/>
      <c r="M196" s="548"/>
    </row>
    <row r="197" spans="1:13" ht="31.5" customHeight="1" thickBot="1">
      <c r="A197" s="392" t="s">
        <v>283</v>
      </c>
      <c r="B197" s="957" t="s">
        <v>520</v>
      </c>
      <c r="C197" s="957"/>
      <c r="D197" s="957"/>
      <c r="E197" s="957"/>
      <c r="F197" s="957"/>
      <c r="G197" s="957"/>
      <c r="H197" s="957"/>
      <c r="I197" s="957"/>
      <c r="J197" s="957"/>
      <c r="K197" s="957"/>
      <c r="L197" s="556" t="s">
        <v>285</v>
      </c>
      <c r="M197" s="548"/>
    </row>
    <row r="198" spans="1:13" ht="27.75" customHeight="1">
      <c r="A198" s="933" t="s">
        <v>278</v>
      </c>
      <c r="B198" s="926" t="s">
        <v>262</v>
      </c>
      <c r="C198" s="927"/>
      <c r="D198" s="927"/>
      <c r="E198" s="557"/>
      <c r="F198" s="929" t="s">
        <v>261</v>
      </c>
      <c r="G198" s="929"/>
      <c r="H198" s="929"/>
      <c r="I198" s="926" t="s">
        <v>260</v>
      </c>
      <c r="J198" s="927"/>
      <c r="K198" s="927"/>
      <c r="L198" s="928"/>
      <c r="M198" s="558" t="s">
        <v>259</v>
      </c>
    </row>
    <row r="199" spans="1:13" ht="13.5" customHeight="1">
      <c r="A199" s="934"/>
      <c r="B199" s="936" t="s">
        <v>258</v>
      </c>
      <c r="C199" s="926" t="s">
        <v>256</v>
      </c>
      <c r="D199" s="927"/>
      <c r="E199" s="928"/>
      <c r="F199" s="936" t="s">
        <v>257</v>
      </c>
      <c r="G199" s="926" t="s">
        <v>256</v>
      </c>
      <c r="H199" s="943"/>
      <c r="I199" s="936" t="s">
        <v>257</v>
      </c>
      <c r="J199" s="967" t="s">
        <v>256</v>
      </c>
      <c r="K199" s="968"/>
      <c r="L199" s="969"/>
      <c r="M199" s="559"/>
    </row>
    <row r="200" spans="1:13" ht="64.5" thickBot="1">
      <c r="A200" s="935"/>
      <c r="B200" s="937"/>
      <c r="C200" s="560" t="s">
        <v>252</v>
      </c>
      <c r="D200" s="560" t="s">
        <v>277</v>
      </c>
      <c r="E200" s="560" t="s">
        <v>276</v>
      </c>
      <c r="F200" s="938"/>
      <c r="G200" s="560" t="s">
        <v>275</v>
      </c>
      <c r="H200" s="560" t="s">
        <v>253</v>
      </c>
      <c r="I200" s="938"/>
      <c r="J200" s="560" t="s">
        <v>252</v>
      </c>
      <c r="K200" s="560" t="s">
        <v>251</v>
      </c>
      <c r="L200" s="560" t="s">
        <v>274</v>
      </c>
      <c r="M200" s="561"/>
    </row>
    <row r="201" spans="1:16" ht="15.75">
      <c r="A201" s="560" t="s">
        <v>19</v>
      </c>
      <c r="B201" s="562">
        <f>C201+D201+E201</f>
        <v>27269.300000000003</v>
      </c>
      <c r="C201" s="563">
        <f>'прил 4-1'!G20</f>
        <v>20362.4</v>
      </c>
      <c r="D201" s="563">
        <f>'прил 4-1'!H20</f>
        <v>6906.900000000001</v>
      </c>
      <c r="E201" s="563"/>
      <c r="F201" s="563"/>
      <c r="G201" s="563"/>
      <c r="H201" s="563"/>
      <c r="I201" s="562">
        <f>J201+K201+L201</f>
        <v>300</v>
      </c>
      <c r="J201" s="563"/>
      <c r="K201" s="563">
        <f>'прил 4-2'!H18</f>
        <v>300</v>
      </c>
      <c r="L201" s="561"/>
      <c r="M201" s="564">
        <f>B201+F201+I201</f>
        <v>27569.300000000003</v>
      </c>
      <c r="P201" s="257"/>
    </row>
    <row r="202" spans="1:16" ht="15.75">
      <c r="A202" s="560" t="s">
        <v>20</v>
      </c>
      <c r="B202" s="562">
        <f>C202+D202+E202</f>
        <v>27269.300000000003</v>
      </c>
      <c r="C202" s="563">
        <f>C201</f>
        <v>20362.4</v>
      </c>
      <c r="D202" s="578">
        <f>D201</f>
        <v>6906.900000000001</v>
      </c>
      <c r="E202" s="563"/>
      <c r="F202" s="563"/>
      <c r="G202" s="563"/>
      <c r="H202" s="563"/>
      <c r="I202" s="562">
        <f>J202+K202+L202</f>
        <v>30</v>
      </c>
      <c r="J202" s="563"/>
      <c r="K202" s="563">
        <f>K201-270</f>
        <v>30</v>
      </c>
      <c r="L202" s="561"/>
      <c r="M202" s="564">
        <f>B202+F202+I202</f>
        <v>27299.300000000003</v>
      </c>
      <c r="P202" s="257"/>
    </row>
    <row r="203" spans="1:16" ht="15.75">
      <c r="A203" s="560" t="s">
        <v>503</v>
      </c>
      <c r="B203" s="562">
        <f>C203+D203+E203</f>
        <v>27269.300000000003</v>
      </c>
      <c r="C203" s="563">
        <f>C202</f>
        <v>20362.4</v>
      </c>
      <c r="D203" s="578">
        <f>D202</f>
        <v>6906.900000000001</v>
      </c>
      <c r="E203" s="563"/>
      <c r="F203" s="563"/>
      <c r="G203" s="563"/>
      <c r="H203" s="563"/>
      <c r="I203" s="562">
        <f>J203+K203+L203</f>
        <v>30</v>
      </c>
      <c r="J203" s="563"/>
      <c r="K203" s="563">
        <f>K202</f>
        <v>30</v>
      </c>
      <c r="L203" s="561"/>
      <c r="M203" s="564">
        <f>B203+F203+I203</f>
        <v>27299.300000000003</v>
      </c>
      <c r="P203" s="257"/>
    </row>
    <row r="204" spans="1:13" ht="35.25" customHeight="1">
      <c r="A204" s="548"/>
      <c r="B204" s="565"/>
      <c r="C204" s="565"/>
      <c r="D204" s="565"/>
      <c r="E204" s="565"/>
      <c r="F204" s="565"/>
      <c r="G204" s="565"/>
      <c r="H204" s="565"/>
      <c r="I204" s="565"/>
      <c r="J204" s="565"/>
      <c r="K204" s="565"/>
      <c r="L204" s="565"/>
      <c r="M204" s="548"/>
    </row>
    <row r="205" spans="1:13" ht="15.75">
      <c r="A205" s="392" t="s">
        <v>284</v>
      </c>
      <c r="B205" s="548"/>
      <c r="C205" s="548"/>
      <c r="D205" s="548"/>
      <c r="E205" s="548"/>
      <c r="F205" s="548"/>
      <c r="G205" s="548"/>
      <c r="H205" s="548"/>
      <c r="I205" s="548"/>
      <c r="J205" s="548"/>
      <c r="K205" s="548"/>
      <c r="L205" s="548"/>
      <c r="M205" s="548"/>
    </row>
    <row r="206" spans="1:13" ht="31.5" customHeight="1" thickBot="1">
      <c r="A206" s="392" t="s">
        <v>283</v>
      </c>
      <c r="B206" s="957" t="s">
        <v>520</v>
      </c>
      <c r="C206" s="957"/>
      <c r="D206" s="957"/>
      <c r="E206" s="957"/>
      <c r="F206" s="957"/>
      <c r="G206" s="957"/>
      <c r="H206" s="957"/>
      <c r="I206" s="957"/>
      <c r="J206" s="957"/>
      <c r="K206" s="957"/>
      <c r="L206" s="548"/>
      <c r="M206" s="548"/>
    </row>
    <row r="207" spans="1:13" ht="31.5" customHeight="1" thickBot="1">
      <c r="A207" s="933" t="s">
        <v>282</v>
      </c>
      <c r="B207" s="940" t="s">
        <v>281</v>
      </c>
      <c r="C207" s="941"/>
      <c r="D207" s="942"/>
      <c r="E207" s="933" t="s">
        <v>69</v>
      </c>
      <c r="F207" s="940" t="s">
        <v>15</v>
      </c>
      <c r="G207" s="941"/>
      <c r="H207" s="941"/>
      <c r="I207" s="571"/>
      <c r="J207" s="587"/>
      <c r="K207" s="548"/>
      <c r="L207" s="548"/>
      <c r="M207" s="548"/>
    </row>
    <row r="208" spans="1:13" ht="16.5" thickBot="1">
      <c r="A208" s="934"/>
      <c r="B208" s="950"/>
      <c r="C208" s="951"/>
      <c r="D208" s="952"/>
      <c r="E208" s="950"/>
      <c r="F208" s="580" t="s">
        <v>17</v>
      </c>
      <c r="G208" s="580" t="s">
        <v>18</v>
      </c>
      <c r="H208" s="580" t="s">
        <v>19</v>
      </c>
      <c r="I208" s="580" t="s">
        <v>20</v>
      </c>
      <c r="J208" s="586" t="s">
        <v>21</v>
      </c>
      <c r="K208" s="548"/>
      <c r="L208" s="548"/>
      <c r="M208" s="548"/>
    </row>
    <row r="209" spans="1:13" ht="38.25">
      <c r="A209" s="588" t="s">
        <v>74</v>
      </c>
      <c r="B209" s="956" t="s">
        <v>499</v>
      </c>
      <c r="C209" s="956"/>
      <c r="D209" s="956"/>
      <c r="E209" s="589" t="s">
        <v>38</v>
      </c>
      <c r="F209" s="590">
        <v>34</v>
      </c>
      <c r="G209" s="590">
        <v>50</v>
      </c>
      <c r="H209" s="590">
        <v>60</v>
      </c>
      <c r="I209" s="590">
        <v>80</v>
      </c>
      <c r="J209" s="591">
        <v>80</v>
      </c>
      <c r="K209" s="548"/>
      <c r="L209" s="548"/>
      <c r="M209" s="548"/>
    </row>
    <row r="210" spans="1:13" ht="45.75" customHeight="1" thickBot="1">
      <c r="A210" s="592" t="s">
        <v>511</v>
      </c>
      <c r="B210" s="987" t="s">
        <v>498</v>
      </c>
      <c r="C210" s="987"/>
      <c r="D210" s="987"/>
      <c r="E210" s="593" t="s">
        <v>38</v>
      </c>
      <c r="F210" s="594"/>
      <c r="G210" s="595">
        <v>75</v>
      </c>
      <c r="H210" s="595">
        <v>75</v>
      </c>
      <c r="I210" s="595">
        <v>75</v>
      </c>
      <c r="J210" s="596">
        <v>75</v>
      </c>
      <c r="K210" s="548"/>
      <c r="L210" s="548"/>
      <c r="M210" s="548"/>
    </row>
    <row r="211" spans="1:13" ht="20.25" customHeight="1">
      <c r="A211" s="948" t="s">
        <v>315</v>
      </c>
      <c r="B211" s="949"/>
      <c r="C211" s="949"/>
      <c r="D211" s="949"/>
      <c r="E211" s="949"/>
      <c r="F211" s="949"/>
      <c r="G211" s="949"/>
      <c r="H211" s="949"/>
      <c r="I211" s="949"/>
      <c r="J211" s="949"/>
      <c r="K211" s="949"/>
      <c r="L211" s="949"/>
      <c r="M211" s="949"/>
    </row>
    <row r="212" spans="1:13" ht="1.5" customHeight="1" thickBot="1">
      <c r="A212" s="548"/>
      <c r="B212" s="548"/>
      <c r="C212" s="548"/>
      <c r="D212" s="548"/>
      <c r="E212" s="548"/>
      <c r="F212" s="548"/>
      <c r="G212" s="548"/>
      <c r="H212" s="548"/>
      <c r="I212" s="548"/>
      <c r="J212" s="548"/>
      <c r="K212" s="548"/>
      <c r="L212" s="548"/>
      <c r="M212" s="548"/>
    </row>
    <row r="213" spans="1:13" ht="24" customHeight="1" thickBot="1">
      <c r="A213" s="550" t="s">
        <v>303</v>
      </c>
      <c r="B213" s="921" t="s">
        <v>302</v>
      </c>
      <c r="C213" s="925"/>
      <c r="D213" s="925"/>
      <c r="E213" s="925"/>
      <c r="F213" s="925"/>
      <c r="G213" s="925"/>
      <c r="H213" s="925"/>
      <c r="I213" s="925"/>
      <c r="J213" s="925"/>
      <c r="K213" s="925"/>
      <c r="L213" s="925"/>
      <c r="M213" s="548"/>
    </row>
    <row r="214" spans="1:13" ht="20.25" customHeight="1" thickBot="1">
      <c r="A214" s="551" t="s">
        <v>301</v>
      </c>
      <c r="B214" s="921" t="s">
        <v>367</v>
      </c>
      <c r="C214" s="925"/>
      <c r="D214" s="925"/>
      <c r="E214" s="925"/>
      <c r="F214" s="925"/>
      <c r="G214" s="925"/>
      <c r="H214" s="925"/>
      <c r="I214" s="925"/>
      <c r="J214" s="925"/>
      <c r="K214" s="925"/>
      <c r="L214" s="925"/>
      <c r="M214" s="548"/>
    </row>
    <row r="215" spans="1:13" ht="16.5" thickBot="1">
      <c r="A215" s="551" t="s">
        <v>299</v>
      </c>
      <c r="B215" s="923" t="s">
        <v>368</v>
      </c>
      <c r="C215" s="924"/>
      <c r="D215" s="924"/>
      <c r="E215" s="924"/>
      <c r="F215" s="924"/>
      <c r="G215" s="924"/>
      <c r="H215" s="924"/>
      <c r="I215" s="924"/>
      <c r="J215" s="924"/>
      <c r="K215" s="924"/>
      <c r="L215" s="924"/>
      <c r="M215" s="548"/>
    </row>
    <row r="216" spans="1:13" ht="29.25" customHeight="1" thickBot="1">
      <c r="A216" s="552" t="s">
        <v>297</v>
      </c>
      <c r="B216" s="922" t="s">
        <v>76</v>
      </c>
      <c r="C216" s="922"/>
      <c r="D216" s="922"/>
      <c r="E216" s="922"/>
      <c r="F216" s="922"/>
      <c r="G216" s="922"/>
      <c r="H216" s="922"/>
      <c r="I216" s="922"/>
      <c r="J216" s="922"/>
      <c r="K216" s="922"/>
      <c r="L216" s="921"/>
      <c r="M216" s="548"/>
    </row>
    <row r="217" spans="1:13" ht="32.25" customHeight="1" thickBot="1">
      <c r="A217" s="551" t="s">
        <v>295</v>
      </c>
      <c r="B217" s="553" t="s">
        <v>294</v>
      </c>
      <c r="C217" s="920" t="s">
        <v>293</v>
      </c>
      <c r="D217" s="921"/>
      <c r="E217" s="554"/>
      <c r="F217" s="920" t="s">
        <v>292</v>
      </c>
      <c r="G217" s="922"/>
      <c r="H217" s="922"/>
      <c r="I217" s="921"/>
      <c r="J217" s="922" t="s">
        <v>291</v>
      </c>
      <c r="K217" s="922"/>
      <c r="L217" s="922"/>
      <c r="M217" s="548"/>
    </row>
    <row r="218" spans="1:13" ht="64.5" customHeight="1" thickBot="1">
      <c r="A218" s="551" t="s">
        <v>290</v>
      </c>
      <c r="B218" s="954" t="s">
        <v>500</v>
      </c>
      <c r="C218" s="955"/>
      <c r="D218" s="955"/>
      <c r="E218" s="955"/>
      <c r="F218" s="955"/>
      <c r="G218" s="955"/>
      <c r="H218" s="955"/>
      <c r="I218" s="955"/>
      <c r="J218" s="955"/>
      <c r="K218" s="955"/>
      <c r="L218" s="955"/>
      <c r="M218" s="548"/>
    </row>
    <row r="219" spans="1:13" ht="26.25" thickBot="1">
      <c r="A219" s="551" t="s">
        <v>288</v>
      </c>
      <c r="B219" s="930" t="s">
        <v>363</v>
      </c>
      <c r="C219" s="925"/>
      <c r="D219" s="925"/>
      <c r="E219" s="925"/>
      <c r="F219" s="925"/>
      <c r="G219" s="925"/>
      <c r="H219" s="925"/>
      <c r="I219" s="925"/>
      <c r="J219" s="925"/>
      <c r="K219" s="925"/>
      <c r="L219" s="925"/>
      <c r="M219" s="548"/>
    </row>
    <row r="220" spans="1:13" ht="0.75" customHeight="1">
      <c r="A220" s="548"/>
      <c r="B220" s="548"/>
      <c r="C220" s="548"/>
      <c r="D220" s="548"/>
      <c r="E220" s="548"/>
      <c r="F220" s="548"/>
      <c r="G220" s="548"/>
      <c r="H220" s="548"/>
      <c r="I220" s="548"/>
      <c r="J220" s="548"/>
      <c r="K220" s="548"/>
      <c r="L220" s="548"/>
      <c r="M220" s="548"/>
    </row>
    <row r="221" spans="1:13" ht="20.25" customHeight="1">
      <c r="A221" s="555" t="s">
        <v>286</v>
      </c>
      <c r="B221" s="548"/>
      <c r="C221" s="548"/>
      <c r="D221" s="548"/>
      <c r="E221" s="548"/>
      <c r="F221" s="548"/>
      <c r="G221" s="548"/>
      <c r="H221" s="548"/>
      <c r="I221" s="548"/>
      <c r="J221" s="548"/>
      <c r="K221" s="548"/>
      <c r="L221" s="548"/>
      <c r="M221" s="548"/>
    </row>
    <row r="222" spans="1:13" ht="18.75" customHeight="1" thickBot="1">
      <c r="A222" s="392" t="s">
        <v>283</v>
      </c>
      <c r="B222" s="548" t="s">
        <v>75</v>
      </c>
      <c r="C222" s="548"/>
      <c r="D222" s="548"/>
      <c r="E222" s="548"/>
      <c r="F222" s="548"/>
      <c r="G222" s="548"/>
      <c r="H222" s="548"/>
      <c r="I222" s="548"/>
      <c r="J222" s="548"/>
      <c r="K222" s="548"/>
      <c r="L222" s="556" t="s">
        <v>285</v>
      </c>
      <c r="M222" s="548"/>
    </row>
    <row r="223" spans="1:13" ht="27.75" customHeight="1">
      <c r="A223" s="933" t="s">
        <v>278</v>
      </c>
      <c r="B223" s="926" t="s">
        <v>262</v>
      </c>
      <c r="C223" s="927"/>
      <c r="D223" s="927"/>
      <c r="E223" s="557"/>
      <c r="F223" s="929" t="s">
        <v>261</v>
      </c>
      <c r="G223" s="929"/>
      <c r="H223" s="929"/>
      <c r="I223" s="926" t="s">
        <v>260</v>
      </c>
      <c r="J223" s="927"/>
      <c r="K223" s="927"/>
      <c r="L223" s="928"/>
      <c r="M223" s="558" t="s">
        <v>259</v>
      </c>
    </row>
    <row r="224" spans="1:13" ht="13.5" customHeight="1">
      <c r="A224" s="934"/>
      <c r="B224" s="936" t="s">
        <v>258</v>
      </c>
      <c r="C224" s="926" t="s">
        <v>256</v>
      </c>
      <c r="D224" s="927"/>
      <c r="E224" s="928"/>
      <c r="F224" s="936" t="s">
        <v>257</v>
      </c>
      <c r="G224" s="926" t="s">
        <v>256</v>
      </c>
      <c r="H224" s="943"/>
      <c r="I224" s="936" t="s">
        <v>257</v>
      </c>
      <c r="J224" s="967" t="s">
        <v>256</v>
      </c>
      <c r="K224" s="968"/>
      <c r="L224" s="969"/>
      <c r="M224" s="559"/>
    </row>
    <row r="225" spans="1:13" ht="64.5" thickBot="1">
      <c r="A225" s="935"/>
      <c r="B225" s="937"/>
      <c r="C225" s="560" t="s">
        <v>252</v>
      </c>
      <c r="D225" s="560" t="s">
        <v>277</v>
      </c>
      <c r="E225" s="560" t="s">
        <v>276</v>
      </c>
      <c r="F225" s="938"/>
      <c r="G225" s="560" t="s">
        <v>275</v>
      </c>
      <c r="H225" s="560" t="s">
        <v>253</v>
      </c>
      <c r="I225" s="938"/>
      <c r="J225" s="560" t="s">
        <v>252</v>
      </c>
      <c r="K225" s="560" t="s">
        <v>251</v>
      </c>
      <c r="L225" s="560" t="s">
        <v>274</v>
      </c>
      <c r="M225" s="561"/>
    </row>
    <row r="226" spans="1:13" ht="15.75">
      <c r="A226" s="560" t="s">
        <v>19</v>
      </c>
      <c r="B226" s="562">
        <f>C226+D226+E226</f>
        <v>1748.2</v>
      </c>
      <c r="C226" s="563">
        <f>'прил 4-1'!G21</f>
        <v>1548.2</v>
      </c>
      <c r="D226" s="563">
        <f>'прил 4-1'!H21</f>
        <v>200</v>
      </c>
      <c r="E226" s="563"/>
      <c r="F226" s="563"/>
      <c r="G226" s="563"/>
      <c r="H226" s="563"/>
      <c r="I226" s="562">
        <f>J226+K226+L226</f>
        <v>0</v>
      </c>
      <c r="J226" s="563"/>
      <c r="K226" s="563"/>
      <c r="L226" s="561"/>
      <c r="M226" s="562">
        <f>B226+I226</f>
        <v>1748.2</v>
      </c>
    </row>
    <row r="227" spans="1:13" ht="15.75">
      <c r="A227" s="560" t="s">
        <v>20</v>
      </c>
      <c r="B227" s="562">
        <f>C227+D227+E227</f>
        <v>1748.2</v>
      </c>
      <c r="C227" s="563">
        <f>C226</f>
        <v>1548.2</v>
      </c>
      <c r="D227" s="563">
        <f>D226</f>
        <v>200</v>
      </c>
      <c r="E227" s="563"/>
      <c r="F227" s="563"/>
      <c r="G227" s="563"/>
      <c r="H227" s="563"/>
      <c r="I227" s="562">
        <f>J227+K227+L227</f>
        <v>0</v>
      </c>
      <c r="J227" s="563"/>
      <c r="K227" s="563"/>
      <c r="L227" s="561"/>
      <c r="M227" s="562">
        <f>B227+I227</f>
        <v>1748.2</v>
      </c>
    </row>
    <row r="228" spans="1:13" ht="15.75">
      <c r="A228" s="560" t="s">
        <v>490</v>
      </c>
      <c r="B228" s="562">
        <f>C228+D228+E228</f>
        <v>1748.2</v>
      </c>
      <c r="C228" s="563">
        <f>C227</f>
        <v>1548.2</v>
      </c>
      <c r="D228" s="563">
        <f>D227</f>
        <v>200</v>
      </c>
      <c r="E228" s="563"/>
      <c r="F228" s="563"/>
      <c r="G228" s="563"/>
      <c r="H228" s="563"/>
      <c r="I228" s="562">
        <f>J228+K228+L228</f>
        <v>0</v>
      </c>
      <c r="J228" s="563"/>
      <c r="K228" s="563"/>
      <c r="L228" s="561"/>
      <c r="M228" s="562">
        <f>B228+I228</f>
        <v>1748.2</v>
      </c>
    </row>
    <row r="229" spans="1:13" ht="29.25" customHeight="1" hidden="1">
      <c r="A229" s="561"/>
      <c r="B229" s="560"/>
      <c r="C229" s="560"/>
      <c r="D229" s="560"/>
      <c r="E229" s="560"/>
      <c r="F229" s="560"/>
      <c r="G229" s="560"/>
      <c r="H229" s="560"/>
      <c r="I229" s="560"/>
      <c r="J229" s="560"/>
      <c r="K229" s="560"/>
      <c r="L229" s="560"/>
      <c r="M229" s="561"/>
    </row>
    <row r="230" spans="1:13" ht="15.75">
      <c r="A230" s="392" t="s">
        <v>284</v>
      </c>
      <c r="B230" s="548"/>
      <c r="C230" s="548"/>
      <c r="D230" s="548"/>
      <c r="E230" s="548"/>
      <c r="F230" s="548"/>
      <c r="G230" s="548"/>
      <c r="H230" s="548"/>
      <c r="I230" s="548"/>
      <c r="J230" s="548"/>
      <c r="K230" s="548"/>
      <c r="L230" s="548"/>
      <c r="M230" s="548"/>
    </row>
    <row r="231" spans="1:13" ht="22.5" customHeight="1" thickBot="1">
      <c r="A231" s="392" t="s">
        <v>283</v>
      </c>
      <c r="B231" s="392" t="s">
        <v>75</v>
      </c>
      <c r="C231" s="567"/>
      <c r="D231" s="567"/>
      <c r="E231" s="548"/>
      <c r="F231" s="548"/>
      <c r="G231" s="548"/>
      <c r="H231" s="548"/>
      <c r="I231" s="548"/>
      <c r="J231" s="548"/>
      <c r="K231" s="548"/>
      <c r="L231" s="548"/>
      <c r="M231" s="548"/>
    </row>
    <row r="232" spans="1:13" ht="16.5" thickBot="1">
      <c r="A232" s="933" t="s">
        <v>282</v>
      </c>
      <c r="B232" s="940" t="s">
        <v>281</v>
      </c>
      <c r="C232" s="941"/>
      <c r="D232" s="942"/>
      <c r="E232" s="933" t="s">
        <v>69</v>
      </c>
      <c r="F232" s="568" t="s">
        <v>14</v>
      </c>
      <c r="G232" s="972" t="s">
        <v>15</v>
      </c>
      <c r="H232" s="973"/>
      <c r="I232" s="973"/>
      <c r="J232" s="974"/>
      <c r="K232" s="548"/>
      <c r="L232" s="548"/>
      <c r="M232" s="548"/>
    </row>
    <row r="233" spans="1:13" ht="16.5" thickBot="1">
      <c r="A233" s="935"/>
      <c r="B233" s="953"/>
      <c r="C233" s="970"/>
      <c r="D233" s="971"/>
      <c r="E233" s="935"/>
      <c r="F233" s="569" t="s">
        <v>16</v>
      </c>
      <c r="G233" s="569" t="s">
        <v>17</v>
      </c>
      <c r="H233" s="569" t="s">
        <v>18</v>
      </c>
      <c r="I233" s="569" t="s">
        <v>19</v>
      </c>
      <c r="J233" s="569" t="s">
        <v>20</v>
      </c>
      <c r="K233" s="548"/>
      <c r="L233" s="548"/>
      <c r="M233" s="548"/>
    </row>
    <row r="234" spans="1:13" ht="54" customHeight="1">
      <c r="A234" s="320" t="s">
        <v>77</v>
      </c>
      <c r="B234" s="956" t="s">
        <v>499</v>
      </c>
      <c r="C234" s="956"/>
      <c r="D234" s="956"/>
      <c r="E234" s="319" t="s">
        <v>78</v>
      </c>
      <c r="F234" s="318"/>
      <c r="G234" s="318"/>
      <c r="H234" s="321">
        <v>1</v>
      </c>
      <c r="I234" s="321">
        <v>1</v>
      </c>
      <c r="J234" s="321">
        <v>50</v>
      </c>
      <c r="K234" s="548"/>
      <c r="L234" s="548"/>
      <c r="M234" s="548"/>
    </row>
    <row r="235" spans="1:13" ht="15.75">
      <c r="A235" s="548"/>
      <c r="B235" s="548"/>
      <c r="C235" s="548"/>
      <c r="D235" s="548"/>
      <c r="E235" s="548"/>
      <c r="F235" s="548"/>
      <c r="G235" s="548"/>
      <c r="H235" s="548"/>
      <c r="I235" s="548"/>
      <c r="J235" s="548"/>
      <c r="K235" s="548"/>
      <c r="L235" s="548"/>
      <c r="M235" s="548"/>
    </row>
    <row r="236" spans="1:13" ht="20.25" customHeight="1">
      <c r="A236" s="948" t="s">
        <v>315</v>
      </c>
      <c r="B236" s="949"/>
      <c r="C236" s="949"/>
      <c r="D236" s="949"/>
      <c r="E236" s="949"/>
      <c r="F236" s="949"/>
      <c r="G236" s="949"/>
      <c r="H236" s="949"/>
      <c r="I236" s="949"/>
      <c r="J236" s="949"/>
      <c r="K236" s="949"/>
      <c r="L236" s="949"/>
      <c r="M236" s="949"/>
    </row>
    <row r="237" spans="1:13" ht="1.5" customHeight="1" thickBot="1">
      <c r="A237" s="548"/>
      <c r="B237" s="548"/>
      <c r="C237" s="548"/>
      <c r="D237" s="548"/>
      <c r="E237" s="548"/>
      <c r="F237" s="548"/>
      <c r="G237" s="548"/>
      <c r="H237" s="548"/>
      <c r="I237" s="548"/>
      <c r="J237" s="548"/>
      <c r="K237" s="548"/>
      <c r="L237" s="548"/>
      <c r="M237" s="548"/>
    </row>
    <row r="238" spans="1:13" ht="24" customHeight="1" thickBot="1">
      <c r="A238" s="550" t="s">
        <v>303</v>
      </c>
      <c r="B238" s="921" t="s">
        <v>302</v>
      </c>
      <c r="C238" s="925"/>
      <c r="D238" s="925"/>
      <c r="E238" s="925"/>
      <c r="F238" s="925"/>
      <c r="G238" s="925"/>
      <c r="H238" s="925"/>
      <c r="I238" s="925"/>
      <c r="J238" s="925"/>
      <c r="K238" s="925"/>
      <c r="L238" s="925"/>
      <c r="M238" s="548"/>
    </row>
    <row r="239" spans="1:13" ht="20.25" customHeight="1" thickBot="1">
      <c r="A239" s="551" t="s">
        <v>301</v>
      </c>
      <c r="B239" s="921" t="s">
        <v>367</v>
      </c>
      <c r="C239" s="925"/>
      <c r="D239" s="925"/>
      <c r="E239" s="925"/>
      <c r="F239" s="925"/>
      <c r="G239" s="925"/>
      <c r="H239" s="925"/>
      <c r="I239" s="925"/>
      <c r="J239" s="925"/>
      <c r="K239" s="925"/>
      <c r="L239" s="925"/>
      <c r="M239" s="548"/>
    </row>
    <row r="240" spans="1:13" ht="16.5" thickBot="1">
      <c r="A240" s="551" t="s">
        <v>299</v>
      </c>
      <c r="B240" s="921" t="s">
        <v>366</v>
      </c>
      <c r="C240" s="925"/>
      <c r="D240" s="925"/>
      <c r="E240" s="925"/>
      <c r="F240" s="925"/>
      <c r="G240" s="925"/>
      <c r="H240" s="925"/>
      <c r="I240" s="925"/>
      <c r="J240" s="925"/>
      <c r="K240" s="925"/>
      <c r="L240" s="925"/>
      <c r="M240" s="548"/>
    </row>
    <row r="241" spans="1:13" ht="29.25" customHeight="1" thickBot="1">
      <c r="A241" s="552" t="s">
        <v>297</v>
      </c>
      <c r="B241" s="922" t="s">
        <v>365</v>
      </c>
      <c r="C241" s="922"/>
      <c r="D241" s="922"/>
      <c r="E241" s="922"/>
      <c r="F241" s="922"/>
      <c r="G241" s="922"/>
      <c r="H241" s="922"/>
      <c r="I241" s="922"/>
      <c r="J241" s="922"/>
      <c r="K241" s="922"/>
      <c r="L241" s="921"/>
      <c r="M241" s="548"/>
    </row>
    <row r="242" spans="1:13" ht="32.25" customHeight="1" thickBot="1">
      <c r="A242" s="551" t="s">
        <v>295</v>
      </c>
      <c r="B242" s="553" t="s">
        <v>294</v>
      </c>
      <c r="C242" s="920" t="s">
        <v>293</v>
      </c>
      <c r="D242" s="921"/>
      <c r="E242" s="554"/>
      <c r="F242" s="920" t="s">
        <v>292</v>
      </c>
      <c r="G242" s="922"/>
      <c r="H242" s="922"/>
      <c r="I242" s="921"/>
      <c r="J242" s="922" t="s">
        <v>291</v>
      </c>
      <c r="K242" s="922"/>
      <c r="L242" s="922"/>
      <c r="M242" s="548"/>
    </row>
    <row r="243" spans="1:13" ht="64.5" customHeight="1" thickBot="1">
      <c r="A243" s="551" t="s">
        <v>290</v>
      </c>
      <c r="B243" s="931" t="s">
        <v>364</v>
      </c>
      <c r="C243" s="932"/>
      <c r="D243" s="932"/>
      <c r="E243" s="932"/>
      <c r="F243" s="932"/>
      <c r="G243" s="932"/>
      <c r="H243" s="932"/>
      <c r="I243" s="932"/>
      <c r="J243" s="932"/>
      <c r="K243" s="932"/>
      <c r="L243" s="932"/>
      <c r="M243" s="548"/>
    </row>
    <row r="244" spans="1:13" ht="26.25" thickBot="1">
      <c r="A244" s="551" t="s">
        <v>288</v>
      </c>
      <c r="B244" s="930" t="s">
        <v>363</v>
      </c>
      <c r="C244" s="925"/>
      <c r="D244" s="925"/>
      <c r="E244" s="925"/>
      <c r="F244" s="925"/>
      <c r="G244" s="925"/>
      <c r="H244" s="925"/>
      <c r="I244" s="925"/>
      <c r="J244" s="925"/>
      <c r="K244" s="925"/>
      <c r="L244" s="925"/>
      <c r="M244" s="548"/>
    </row>
    <row r="245" spans="1:13" ht="0.75" customHeight="1">
      <c r="A245" s="548"/>
      <c r="B245" s="548"/>
      <c r="C245" s="548"/>
      <c r="D245" s="548"/>
      <c r="E245" s="548"/>
      <c r="F245" s="548"/>
      <c r="G245" s="548"/>
      <c r="H245" s="548"/>
      <c r="I245" s="548"/>
      <c r="J245" s="548"/>
      <c r="K245" s="548"/>
      <c r="L245" s="548"/>
      <c r="M245" s="548"/>
    </row>
    <row r="246" spans="1:13" ht="20.25" customHeight="1">
      <c r="A246" s="555" t="s">
        <v>286</v>
      </c>
      <c r="B246" s="548"/>
      <c r="C246" s="548"/>
      <c r="D246" s="548"/>
      <c r="E246" s="548"/>
      <c r="F246" s="548"/>
      <c r="G246" s="548"/>
      <c r="H246" s="548"/>
      <c r="I246" s="548"/>
      <c r="J246" s="548"/>
      <c r="K246" s="548"/>
      <c r="L246" s="548"/>
      <c r="M246" s="548"/>
    </row>
    <row r="247" spans="1:13" ht="18.75" customHeight="1" thickBot="1">
      <c r="A247" s="392" t="s">
        <v>283</v>
      </c>
      <c r="B247" s="548" t="s">
        <v>79</v>
      </c>
      <c r="C247" s="548"/>
      <c r="D247" s="548"/>
      <c r="E247" s="548"/>
      <c r="F247" s="548"/>
      <c r="G247" s="548"/>
      <c r="H247" s="548"/>
      <c r="I247" s="548"/>
      <c r="J247" s="548"/>
      <c r="K247" s="548"/>
      <c r="L247" s="556" t="s">
        <v>285</v>
      </c>
      <c r="M247" s="548"/>
    </row>
    <row r="248" spans="1:13" ht="27.75" customHeight="1">
      <c r="A248" s="933" t="s">
        <v>278</v>
      </c>
      <c r="B248" s="926" t="s">
        <v>262</v>
      </c>
      <c r="C248" s="927"/>
      <c r="D248" s="927"/>
      <c r="E248" s="557"/>
      <c r="F248" s="929" t="s">
        <v>261</v>
      </c>
      <c r="G248" s="929"/>
      <c r="H248" s="929"/>
      <c r="I248" s="926" t="s">
        <v>260</v>
      </c>
      <c r="J248" s="927"/>
      <c r="K248" s="927"/>
      <c r="L248" s="928"/>
      <c r="M248" s="558" t="s">
        <v>259</v>
      </c>
    </row>
    <row r="249" spans="1:13" ht="13.5" customHeight="1">
      <c r="A249" s="934"/>
      <c r="B249" s="936" t="s">
        <v>258</v>
      </c>
      <c r="C249" s="926" t="s">
        <v>256</v>
      </c>
      <c r="D249" s="927"/>
      <c r="E249" s="928"/>
      <c r="F249" s="936" t="s">
        <v>257</v>
      </c>
      <c r="G249" s="926" t="s">
        <v>256</v>
      </c>
      <c r="H249" s="943"/>
      <c r="I249" s="936" t="s">
        <v>257</v>
      </c>
      <c r="J249" s="967" t="s">
        <v>256</v>
      </c>
      <c r="K249" s="968"/>
      <c r="L249" s="969"/>
      <c r="M249" s="559"/>
    </row>
    <row r="250" spans="1:13" ht="64.5" thickBot="1">
      <c r="A250" s="935"/>
      <c r="B250" s="937"/>
      <c r="C250" s="560" t="s">
        <v>252</v>
      </c>
      <c r="D250" s="560" t="s">
        <v>277</v>
      </c>
      <c r="E250" s="560" t="s">
        <v>276</v>
      </c>
      <c r="F250" s="938"/>
      <c r="G250" s="560" t="s">
        <v>275</v>
      </c>
      <c r="H250" s="560" t="s">
        <v>253</v>
      </c>
      <c r="I250" s="938"/>
      <c r="J250" s="560" t="s">
        <v>252</v>
      </c>
      <c r="K250" s="560" t="s">
        <v>251</v>
      </c>
      <c r="L250" s="560" t="s">
        <v>274</v>
      </c>
      <c r="M250" s="561"/>
    </row>
    <row r="251" spans="1:18" ht="15.75">
      <c r="A251" s="560" t="s">
        <v>19</v>
      </c>
      <c r="B251" s="562">
        <f>C251+D251</f>
        <v>14720.900000000001</v>
      </c>
      <c r="C251" s="578">
        <f>'прил 4-1'!G22</f>
        <v>10263.7</v>
      </c>
      <c r="D251" s="578">
        <f>'прил 4-1'!H22</f>
        <v>4457.2</v>
      </c>
      <c r="E251" s="563"/>
      <c r="F251" s="563"/>
      <c r="G251" s="563"/>
      <c r="H251" s="563"/>
      <c r="I251" s="562">
        <f>J251+K251+L251</f>
        <v>8800</v>
      </c>
      <c r="J251" s="563">
        <f>'прил 4-2'!G20</f>
        <v>3354.1</v>
      </c>
      <c r="K251" s="563">
        <f>'прил 4-2'!H20</f>
        <v>5301.9</v>
      </c>
      <c r="L251" s="563">
        <f>'прил 4-2'!N20</f>
        <v>144</v>
      </c>
      <c r="M251" s="564">
        <f>B251+F251+I251</f>
        <v>23520.9</v>
      </c>
      <c r="O251" s="257"/>
      <c r="P251" s="257"/>
      <c r="R251" s="257"/>
    </row>
    <row r="252" spans="1:18" ht="15.75">
      <c r="A252" s="560" t="s">
        <v>20</v>
      </c>
      <c r="B252" s="562">
        <f>C252+D252</f>
        <v>14775.400000000001</v>
      </c>
      <c r="C252" s="578">
        <f>C251</f>
        <v>10263.7</v>
      </c>
      <c r="D252" s="578">
        <f>D251+54.5</f>
        <v>4511.7</v>
      </c>
      <c r="E252" s="563"/>
      <c r="F252" s="563"/>
      <c r="G252" s="563"/>
      <c r="H252" s="563"/>
      <c r="I252" s="562">
        <f>J252+K252+L252</f>
        <v>9185.5</v>
      </c>
      <c r="J252" s="563">
        <f>J251</f>
        <v>3354.1</v>
      </c>
      <c r="K252" s="563">
        <f>K251+385.5</f>
        <v>5687.4</v>
      </c>
      <c r="L252" s="563">
        <f>L251</f>
        <v>144</v>
      </c>
      <c r="M252" s="564">
        <f>B252+F252+I252</f>
        <v>23960.9</v>
      </c>
      <c r="O252" s="257"/>
      <c r="P252" s="257"/>
      <c r="R252" s="257"/>
    </row>
    <row r="253" spans="1:18" ht="15.75">
      <c r="A253" s="560" t="s">
        <v>21</v>
      </c>
      <c r="B253" s="562">
        <f>C253+D253</f>
        <v>14521.8</v>
      </c>
      <c r="C253" s="578">
        <f>C252</f>
        <v>10263.7</v>
      </c>
      <c r="D253" s="578">
        <f>D252-44-209.6</f>
        <v>4258.099999999999</v>
      </c>
      <c r="E253" s="563"/>
      <c r="F253" s="563"/>
      <c r="G253" s="563"/>
      <c r="H253" s="563"/>
      <c r="I253" s="562">
        <f>J253+K253+L253</f>
        <v>10876.8</v>
      </c>
      <c r="J253" s="563">
        <f>J252</f>
        <v>3354.1</v>
      </c>
      <c r="K253" s="563">
        <f>K252+1721.2-239.5+209.6</f>
        <v>7378.7</v>
      </c>
      <c r="L253" s="563">
        <f>L252</f>
        <v>144</v>
      </c>
      <c r="M253" s="564">
        <f>B253+F253+I253</f>
        <v>25398.6</v>
      </c>
      <c r="O253" s="257"/>
      <c r="P253" s="257"/>
      <c r="R253" s="257"/>
    </row>
    <row r="254" spans="1:13" ht="17.25" customHeight="1">
      <c r="A254" s="548"/>
      <c r="B254" s="565"/>
      <c r="C254" s="565"/>
      <c r="D254" s="565"/>
      <c r="E254" s="565"/>
      <c r="F254" s="565"/>
      <c r="G254" s="565"/>
      <c r="H254" s="565"/>
      <c r="I254" s="565"/>
      <c r="J254" s="565"/>
      <c r="K254" s="565"/>
      <c r="L254" s="565"/>
      <c r="M254" s="548"/>
    </row>
    <row r="255" spans="1:13" ht="15.75">
      <c r="A255" s="392" t="s">
        <v>284</v>
      </c>
      <c r="B255" s="548"/>
      <c r="C255" s="548"/>
      <c r="D255" s="548"/>
      <c r="E255" s="548"/>
      <c r="F255" s="548"/>
      <c r="G255" s="548"/>
      <c r="H255" s="548"/>
      <c r="I255" s="548"/>
      <c r="J255" s="548"/>
      <c r="K255" s="548"/>
      <c r="L255" s="548"/>
      <c r="M255" s="548"/>
    </row>
    <row r="256" spans="1:13" ht="22.5" customHeight="1" thickBot="1">
      <c r="A256" s="392" t="s">
        <v>283</v>
      </c>
      <c r="B256" s="392" t="s">
        <v>79</v>
      </c>
      <c r="C256" s="567"/>
      <c r="D256" s="567"/>
      <c r="E256" s="548"/>
      <c r="F256" s="548"/>
      <c r="G256" s="548"/>
      <c r="H256" s="548"/>
      <c r="I256" s="548"/>
      <c r="J256" s="548"/>
      <c r="K256" s="548"/>
      <c r="L256" s="548"/>
      <c r="M256" s="548"/>
    </row>
    <row r="257" spans="1:13" ht="15.75" customHeight="1">
      <c r="A257" s="933" t="s">
        <v>282</v>
      </c>
      <c r="B257" s="940" t="s">
        <v>281</v>
      </c>
      <c r="C257" s="941"/>
      <c r="D257" s="942"/>
      <c r="E257" s="933" t="s">
        <v>69</v>
      </c>
      <c r="F257" s="940" t="s">
        <v>15</v>
      </c>
      <c r="G257" s="941"/>
      <c r="H257" s="941"/>
      <c r="I257" s="941"/>
      <c r="J257" s="942"/>
      <c r="K257" s="548"/>
      <c r="L257" s="548"/>
      <c r="M257" s="548"/>
    </row>
    <row r="258" spans="1:13" ht="16.5" thickBot="1">
      <c r="A258" s="935"/>
      <c r="B258" s="950"/>
      <c r="C258" s="951"/>
      <c r="D258" s="952"/>
      <c r="E258" s="935"/>
      <c r="F258" s="569" t="s">
        <v>17</v>
      </c>
      <c r="G258" s="569" t="s">
        <v>18</v>
      </c>
      <c r="H258" s="569" t="s">
        <v>19</v>
      </c>
      <c r="I258" s="569" t="s">
        <v>20</v>
      </c>
      <c r="J258" s="569" t="s">
        <v>501</v>
      </c>
      <c r="K258" s="548"/>
      <c r="L258" s="548"/>
      <c r="M258" s="548"/>
    </row>
    <row r="259" spans="1:13" ht="25.5">
      <c r="A259" s="391" t="s">
        <v>81</v>
      </c>
      <c r="B259" s="929" t="s">
        <v>502</v>
      </c>
      <c r="C259" s="929"/>
      <c r="D259" s="929"/>
      <c r="E259" s="475" t="s">
        <v>83</v>
      </c>
      <c r="F259" s="597">
        <v>13525</v>
      </c>
      <c r="G259" s="597">
        <v>13525</v>
      </c>
      <c r="H259" s="597">
        <v>13600</v>
      </c>
      <c r="I259" s="597">
        <v>13650</v>
      </c>
      <c r="J259" s="598">
        <v>13700</v>
      </c>
      <c r="K259" s="548"/>
      <c r="L259" s="548"/>
      <c r="M259" s="548"/>
    </row>
    <row r="260" spans="1:13" ht="15" customHeight="1">
      <c r="A260" s="392" t="s">
        <v>82</v>
      </c>
      <c r="B260" s="929" t="s">
        <v>502</v>
      </c>
      <c r="C260" s="929"/>
      <c r="D260" s="929"/>
      <c r="E260" s="476" t="s">
        <v>83</v>
      </c>
      <c r="F260" s="599">
        <v>295188</v>
      </c>
      <c r="G260" s="599">
        <v>300000</v>
      </c>
      <c r="H260" s="599">
        <v>300100</v>
      </c>
      <c r="I260" s="599">
        <v>300200</v>
      </c>
      <c r="J260" s="600">
        <v>300200</v>
      </c>
      <c r="K260" s="548"/>
      <c r="L260" s="548"/>
      <c r="M260" s="548"/>
    </row>
    <row r="261" spans="1:13" ht="29.25" customHeight="1">
      <c r="A261" s="391" t="s">
        <v>84</v>
      </c>
      <c r="B261" s="929" t="s">
        <v>502</v>
      </c>
      <c r="C261" s="929"/>
      <c r="D261" s="929"/>
      <c r="E261" s="476" t="s">
        <v>83</v>
      </c>
      <c r="F261" s="601">
        <v>2058</v>
      </c>
      <c r="G261" s="602">
        <v>2100</v>
      </c>
      <c r="H261" s="602">
        <v>2200</v>
      </c>
      <c r="I261" s="602">
        <v>2300</v>
      </c>
      <c r="J261" s="603">
        <v>2300</v>
      </c>
      <c r="K261" s="548"/>
      <c r="L261" s="548"/>
      <c r="M261" s="548"/>
    </row>
    <row r="262" spans="1:13" ht="15.75">
      <c r="A262" s="392" t="s">
        <v>85</v>
      </c>
      <c r="B262" s="929" t="s">
        <v>502</v>
      </c>
      <c r="C262" s="929"/>
      <c r="D262" s="929"/>
      <c r="E262" s="476" t="s">
        <v>51</v>
      </c>
      <c r="F262" s="601">
        <v>250</v>
      </c>
      <c r="G262" s="601" t="s">
        <v>88</v>
      </c>
      <c r="H262" s="601" t="s">
        <v>88</v>
      </c>
      <c r="I262" s="601" t="s">
        <v>88</v>
      </c>
      <c r="J262" s="601" t="s">
        <v>88</v>
      </c>
      <c r="K262" s="548"/>
      <c r="L262" s="548"/>
      <c r="M262" s="548"/>
    </row>
    <row r="263" spans="1:13" ht="15.75">
      <c r="A263" s="317"/>
      <c r="B263" s="565"/>
      <c r="C263" s="565"/>
      <c r="D263" s="565"/>
      <c r="E263" s="316"/>
      <c r="F263" s="315"/>
      <c r="G263" s="315"/>
      <c r="H263" s="315"/>
      <c r="I263" s="315"/>
      <c r="J263" s="315"/>
      <c r="K263" s="548"/>
      <c r="L263" s="548"/>
      <c r="M263" s="548"/>
    </row>
    <row r="264" spans="1:13" ht="16.5" thickBot="1">
      <c r="A264" s="317"/>
      <c r="B264" s="565"/>
      <c r="C264" s="565"/>
      <c r="D264" s="565"/>
      <c r="E264" s="316"/>
      <c r="F264" s="315"/>
      <c r="G264" s="315"/>
      <c r="H264" s="315"/>
      <c r="I264" s="315"/>
      <c r="J264" s="315"/>
      <c r="K264" s="548"/>
      <c r="L264" s="548"/>
      <c r="M264" s="548"/>
    </row>
    <row r="265" spans="1:13" ht="27.75" customHeight="1">
      <c r="A265" s="958" t="s">
        <v>278</v>
      </c>
      <c r="B265" s="961" t="s">
        <v>262</v>
      </c>
      <c r="C265" s="962"/>
      <c r="D265" s="962"/>
      <c r="E265" s="753"/>
      <c r="F265" s="963" t="s">
        <v>261</v>
      </c>
      <c r="G265" s="963"/>
      <c r="H265" s="963"/>
      <c r="I265" s="961" t="s">
        <v>260</v>
      </c>
      <c r="J265" s="962"/>
      <c r="K265" s="962"/>
      <c r="L265" s="964"/>
      <c r="M265" s="754" t="s">
        <v>259</v>
      </c>
    </row>
    <row r="266" spans="1:13" ht="13.5" customHeight="1">
      <c r="A266" s="959"/>
      <c r="B266" s="965" t="s">
        <v>258</v>
      </c>
      <c r="C266" s="961" t="s">
        <v>256</v>
      </c>
      <c r="D266" s="962"/>
      <c r="E266" s="964"/>
      <c r="F266" s="965" t="s">
        <v>257</v>
      </c>
      <c r="G266" s="961" t="s">
        <v>256</v>
      </c>
      <c r="H266" s="976"/>
      <c r="I266" s="965" t="s">
        <v>257</v>
      </c>
      <c r="J266" s="977" t="s">
        <v>256</v>
      </c>
      <c r="K266" s="978"/>
      <c r="L266" s="979"/>
      <c r="M266" s="755"/>
    </row>
    <row r="267" spans="1:13" ht="64.5" thickBot="1">
      <c r="A267" s="960"/>
      <c r="B267" s="966"/>
      <c r="C267" s="756" t="s">
        <v>252</v>
      </c>
      <c r="D267" s="756" t="s">
        <v>277</v>
      </c>
      <c r="E267" s="756" t="s">
        <v>276</v>
      </c>
      <c r="F267" s="975"/>
      <c r="G267" s="756" t="s">
        <v>275</v>
      </c>
      <c r="H267" s="756" t="s">
        <v>253</v>
      </c>
      <c r="I267" s="975"/>
      <c r="J267" s="756" t="s">
        <v>252</v>
      </c>
      <c r="K267" s="756" t="s">
        <v>251</v>
      </c>
      <c r="L267" s="756" t="s">
        <v>274</v>
      </c>
      <c r="M267" s="757"/>
    </row>
    <row r="268" spans="1:16" ht="15.75">
      <c r="A268" s="756" t="s">
        <v>19</v>
      </c>
      <c r="B268" s="758">
        <f>C268+D268+E268</f>
        <v>88760.4</v>
      </c>
      <c r="C268" s="758">
        <f>C21+C46+C72+C98+C124+C150+C175+C201+C226+C251</f>
        <v>53736.3</v>
      </c>
      <c r="D268" s="758">
        <f>D21+D46+D72+D98+D124+D150+D175+D201+D226+D251</f>
        <v>35024.1</v>
      </c>
      <c r="E268" s="758"/>
      <c r="F268" s="759"/>
      <c r="G268" s="759"/>
      <c r="H268" s="759"/>
      <c r="I268" s="758">
        <f>J268+K268+L268</f>
        <v>9100</v>
      </c>
      <c r="J268" s="758">
        <f>J21+J46+J72+J98+J124+J150+J175+J201+J226+J251</f>
        <v>3354.1</v>
      </c>
      <c r="K268" s="758">
        <f>K21+K46+K72+K98+K124+K150+K175+K201+K226+K251</f>
        <v>5601.9</v>
      </c>
      <c r="L268" s="758">
        <f>L21+L46+L72+L98+L124+L150+L175+L201+L226+L251</f>
        <v>144</v>
      </c>
      <c r="M268" s="758">
        <f>B268+I268</f>
        <v>97860.4</v>
      </c>
      <c r="P268" s="257"/>
    </row>
    <row r="269" spans="1:16" ht="15.75">
      <c r="A269" s="756" t="s">
        <v>20</v>
      </c>
      <c r="B269" s="758">
        <f>C269+D269+E269</f>
        <v>88814.9</v>
      </c>
      <c r="C269" s="758">
        <f>C22+C47+C73+C99+C125+C151+C176+C202+C227+C252</f>
        <v>53736.3</v>
      </c>
      <c r="D269" s="758">
        <f>D22+D47+D73+D99+D125+D151+D176+D202+D227+D252</f>
        <v>35078.6</v>
      </c>
      <c r="E269" s="758"/>
      <c r="F269" s="759"/>
      <c r="G269" s="759"/>
      <c r="H269" s="759"/>
      <c r="I269" s="758">
        <f>J269+K269+L269</f>
        <v>9215.5</v>
      </c>
      <c r="J269" s="758">
        <f>J22+J47+J73+J99+J125+J151+J176+J202+J227+J252</f>
        <v>3354.1</v>
      </c>
      <c r="K269" s="758">
        <f>K22+K47+K73+K99+K125+K151+K176+K202+K227+K252</f>
        <v>5717.4</v>
      </c>
      <c r="L269" s="758">
        <f>L22+L47+L73+L99+L125+L151+L176+L202+L227+L252</f>
        <v>144</v>
      </c>
      <c r="M269" s="758">
        <f>B269+I269</f>
        <v>98030.4</v>
      </c>
      <c r="P269" s="257"/>
    </row>
    <row r="270" spans="1:16" ht="15.75">
      <c r="A270" s="756" t="s">
        <v>21</v>
      </c>
      <c r="B270" s="758">
        <f>C270+D270+E270</f>
        <v>88935</v>
      </c>
      <c r="C270" s="758">
        <f>C23+C48+C74+C100+C126+C152+C177+C203+C228+C253</f>
        <v>53736.3</v>
      </c>
      <c r="D270" s="758">
        <f>D23+D48+D74+D100+D126+D152+D177+D203+D228+D253</f>
        <v>35198.7</v>
      </c>
      <c r="E270" s="758"/>
      <c r="F270" s="757"/>
      <c r="G270" s="757"/>
      <c r="H270" s="757"/>
      <c r="I270" s="758">
        <f>J270+K270+L270</f>
        <v>10906.8</v>
      </c>
      <c r="J270" s="758">
        <f>J23+J48+J74+J100+J126+J152+J177+J203+J228+J253</f>
        <v>3354.1</v>
      </c>
      <c r="K270" s="758">
        <f>K23+K48+K74+K100+K126+K152+K177+K203+K228+K253</f>
        <v>7408.7</v>
      </c>
      <c r="L270" s="758">
        <f>L23+L48+L74+L100+L126+L152+L177+L203+L228+L253</f>
        <v>144</v>
      </c>
      <c r="M270" s="758">
        <f>B270+I270</f>
        <v>99841.8</v>
      </c>
      <c r="P270" s="257"/>
    </row>
    <row r="271" spans="1:13" ht="15.75">
      <c r="A271" s="760"/>
      <c r="B271" s="760"/>
      <c r="C271" s="761"/>
      <c r="D271" s="761"/>
      <c r="E271" s="760"/>
      <c r="F271" s="760"/>
      <c r="G271" s="760"/>
      <c r="H271" s="760"/>
      <c r="I271" s="760"/>
      <c r="J271" s="761"/>
      <c r="K271" s="761"/>
      <c r="L271" s="760"/>
      <c r="M271" s="761"/>
    </row>
    <row r="272" spans="1:13" ht="15.75">
      <c r="A272" s="760"/>
      <c r="B272" s="760"/>
      <c r="C272" s="760"/>
      <c r="D272" s="760"/>
      <c r="E272" s="760"/>
      <c r="F272" s="760"/>
      <c r="G272" s="760"/>
      <c r="H272" s="760"/>
      <c r="I272" s="760"/>
      <c r="J272" s="760"/>
      <c r="K272" s="760"/>
      <c r="L272" s="760"/>
      <c r="M272" s="760"/>
    </row>
    <row r="277" spans="2:13" ht="15.75">
      <c r="B277" s="257"/>
      <c r="C277" s="257"/>
      <c r="D277" s="257"/>
      <c r="E277" s="257"/>
      <c r="I277" s="257"/>
      <c r="J277" s="257"/>
      <c r="K277" s="257"/>
      <c r="L277" s="257"/>
      <c r="M277" s="257"/>
    </row>
    <row r="278" spans="2:13" ht="15.75">
      <c r="B278" s="257"/>
      <c r="C278" s="257"/>
      <c r="D278" s="257"/>
      <c r="E278" s="257"/>
      <c r="I278" s="257"/>
      <c r="J278" s="257"/>
      <c r="K278" s="257"/>
      <c r="L278" s="257"/>
      <c r="M278" s="257"/>
    </row>
    <row r="279" spans="2:13" ht="15.75">
      <c r="B279" s="257"/>
      <c r="C279" s="257"/>
      <c r="D279" s="257"/>
      <c r="E279" s="257"/>
      <c r="I279" s="257"/>
      <c r="J279" s="257"/>
      <c r="K279" s="257"/>
      <c r="L279" s="257"/>
      <c r="M279" s="257"/>
    </row>
  </sheetData>
  <sheetProtection/>
  <mergeCells count="274">
    <mergeCell ref="F37:I37"/>
    <mergeCell ref="B183:D183"/>
    <mergeCell ref="F181:J181"/>
    <mergeCell ref="F207:H207"/>
    <mergeCell ref="B210:D210"/>
    <mergeCell ref="F257:J257"/>
    <mergeCell ref="B261:D261"/>
    <mergeCell ref="A57:M57"/>
    <mergeCell ref="B59:L59"/>
    <mergeCell ref="B60:L60"/>
    <mergeCell ref="C63:D63"/>
    <mergeCell ref="F63:I63"/>
    <mergeCell ref="J63:L63"/>
    <mergeCell ref="B65:L65"/>
    <mergeCell ref="A69:A71"/>
    <mergeCell ref="B69:D69"/>
    <mergeCell ref="F69:H69"/>
    <mergeCell ref="I69:L69"/>
    <mergeCell ref="B70:B71"/>
    <mergeCell ref="C70:E70"/>
    <mergeCell ref="F70:F71"/>
    <mergeCell ref="F96:F97"/>
    <mergeCell ref="C96:E96"/>
    <mergeCell ref="J96:L96"/>
    <mergeCell ref="G27:J27"/>
    <mergeCell ref="A43:A45"/>
    <mergeCell ref="B43:D43"/>
    <mergeCell ref="B87:L87"/>
    <mergeCell ref="B61:L61"/>
    <mergeCell ref="B62:L62"/>
    <mergeCell ref="B64:L64"/>
    <mergeCell ref="B29:D29"/>
    <mergeCell ref="G19:H19"/>
    <mergeCell ref="I19:I20"/>
    <mergeCell ref="F43:H43"/>
    <mergeCell ref="I43:L43"/>
    <mergeCell ref="B44:B45"/>
    <mergeCell ref="C44:E44"/>
    <mergeCell ref="F44:F45"/>
    <mergeCell ref="G44:H44"/>
    <mergeCell ref="I44:I45"/>
    <mergeCell ref="J44:L44"/>
    <mergeCell ref="B38:L38"/>
    <mergeCell ref="B39:L39"/>
    <mergeCell ref="B34:L34"/>
    <mergeCell ref="B35:L35"/>
    <mergeCell ref="B36:L36"/>
    <mergeCell ref="C37:D37"/>
    <mergeCell ref="H3:M3"/>
    <mergeCell ref="H4:M4"/>
    <mergeCell ref="H5:M5"/>
    <mergeCell ref="A6:M6"/>
    <mergeCell ref="B8:L8"/>
    <mergeCell ref="B9:L9"/>
    <mergeCell ref="B10:L10"/>
    <mergeCell ref="B11:L11"/>
    <mergeCell ref="C12:D12"/>
    <mergeCell ref="F12:I12"/>
    <mergeCell ref="J12:L12"/>
    <mergeCell ref="B117:L117"/>
    <mergeCell ref="G70:H70"/>
    <mergeCell ref="I70:I71"/>
    <mergeCell ref="J70:L70"/>
    <mergeCell ref="G96:H96"/>
    <mergeCell ref="I96:I97"/>
    <mergeCell ref="A78:A79"/>
    <mergeCell ref="B78:D79"/>
    <mergeCell ref="E78:E79"/>
    <mergeCell ref="G78:J78"/>
    <mergeCell ref="B80:D80"/>
    <mergeCell ref="B107:D107"/>
    <mergeCell ref="A104:A105"/>
    <mergeCell ref="B104:D105"/>
    <mergeCell ref="E104:E105"/>
    <mergeCell ref="B106:D106"/>
    <mergeCell ref="F95:H95"/>
    <mergeCell ref="I95:L95"/>
    <mergeCell ref="B96:B97"/>
    <mergeCell ref="A109:M109"/>
    <mergeCell ref="B88:L88"/>
    <mergeCell ref="C89:D89"/>
    <mergeCell ref="F89:I89"/>
    <mergeCell ref="J89:L89"/>
    <mergeCell ref="B90:L90"/>
    <mergeCell ref="B91:L91"/>
    <mergeCell ref="A95:A97"/>
    <mergeCell ref="B95:D95"/>
    <mergeCell ref="B13:L13"/>
    <mergeCell ref="A31:M31"/>
    <mergeCell ref="B33:L33"/>
    <mergeCell ref="B14:L14"/>
    <mergeCell ref="A18:A20"/>
    <mergeCell ref="J37:L37"/>
    <mergeCell ref="B18:D18"/>
    <mergeCell ref="F18:H18"/>
    <mergeCell ref="I18:L18"/>
    <mergeCell ref="B19:B20"/>
    <mergeCell ref="C19:E19"/>
    <mergeCell ref="F19:F20"/>
    <mergeCell ref="J19:L19"/>
    <mergeCell ref="A27:A28"/>
    <mergeCell ref="B27:D28"/>
    <mergeCell ref="E27:E28"/>
    <mergeCell ref="A121:A123"/>
    <mergeCell ref="B121:D121"/>
    <mergeCell ref="F121:H121"/>
    <mergeCell ref="I121:L121"/>
    <mergeCell ref="B122:B123"/>
    <mergeCell ref="C122:E122"/>
    <mergeCell ref="F122:F123"/>
    <mergeCell ref="G122:H122"/>
    <mergeCell ref="C141:D141"/>
    <mergeCell ref="F141:I141"/>
    <mergeCell ref="J141:L141"/>
    <mergeCell ref="A131:A132"/>
    <mergeCell ref="B131:D132"/>
    <mergeCell ref="E131:E132"/>
    <mergeCell ref="I122:I123"/>
    <mergeCell ref="J122:L122"/>
    <mergeCell ref="A156:A157"/>
    <mergeCell ref="B156:D157"/>
    <mergeCell ref="E156:E157"/>
    <mergeCell ref="B158:D158"/>
    <mergeCell ref="B133:D133"/>
    <mergeCell ref="A147:A149"/>
    <mergeCell ref="F147:H147"/>
    <mergeCell ref="I147:L147"/>
    <mergeCell ref="B148:B149"/>
    <mergeCell ref="C148:E148"/>
    <mergeCell ref="F148:F149"/>
    <mergeCell ref="G148:H148"/>
    <mergeCell ref="I148:I149"/>
    <mergeCell ref="J148:L148"/>
    <mergeCell ref="B143:L143"/>
    <mergeCell ref="A135:M135"/>
    <mergeCell ref="B137:L137"/>
    <mergeCell ref="B138:L138"/>
    <mergeCell ref="B139:L139"/>
    <mergeCell ref="B140:L140"/>
    <mergeCell ref="B142:L142"/>
    <mergeCell ref="E181:E182"/>
    <mergeCell ref="B181:D182"/>
    <mergeCell ref="A181:A182"/>
    <mergeCell ref="I173:I174"/>
    <mergeCell ref="F173:F174"/>
    <mergeCell ref="B173:B174"/>
    <mergeCell ref="A172:A174"/>
    <mergeCell ref="J173:L173"/>
    <mergeCell ref="G173:H173"/>
    <mergeCell ref="A198:A200"/>
    <mergeCell ref="B198:D198"/>
    <mergeCell ref="F198:H198"/>
    <mergeCell ref="I198:L198"/>
    <mergeCell ref="B199:B200"/>
    <mergeCell ref="C199:E199"/>
    <mergeCell ref="F199:F200"/>
    <mergeCell ref="G199:H199"/>
    <mergeCell ref="I199:I200"/>
    <mergeCell ref="J199:L199"/>
    <mergeCell ref="A265:A267"/>
    <mergeCell ref="B265:D265"/>
    <mergeCell ref="F265:H265"/>
    <mergeCell ref="I265:L265"/>
    <mergeCell ref="B266:B267"/>
    <mergeCell ref="C266:E266"/>
    <mergeCell ref="I224:I225"/>
    <mergeCell ref="J224:L224"/>
    <mergeCell ref="I249:I250"/>
    <mergeCell ref="J249:L249"/>
    <mergeCell ref="A232:A233"/>
    <mergeCell ref="B232:D233"/>
    <mergeCell ref="E232:E233"/>
    <mergeCell ref="G232:J232"/>
    <mergeCell ref="B234:D234"/>
    <mergeCell ref="A236:M236"/>
    <mergeCell ref="A257:A258"/>
    <mergeCell ref="B257:D258"/>
    <mergeCell ref="E257:E258"/>
    <mergeCell ref="F266:F267"/>
    <mergeCell ref="G266:H266"/>
    <mergeCell ref="I266:I267"/>
    <mergeCell ref="J266:L266"/>
    <mergeCell ref="B260:D260"/>
    <mergeCell ref="B262:D262"/>
    <mergeCell ref="B238:L238"/>
    <mergeCell ref="B239:L239"/>
    <mergeCell ref="B240:L240"/>
    <mergeCell ref="B259:D259"/>
    <mergeCell ref="A248:A250"/>
    <mergeCell ref="B248:D248"/>
    <mergeCell ref="F248:H248"/>
    <mergeCell ref="I248:L248"/>
    <mergeCell ref="B249:B250"/>
    <mergeCell ref="C249:E249"/>
    <mergeCell ref="F249:F250"/>
    <mergeCell ref="G249:H249"/>
    <mergeCell ref="J242:L242"/>
    <mergeCell ref="B243:L243"/>
    <mergeCell ref="B244:L244"/>
    <mergeCell ref="B241:L241"/>
    <mergeCell ref="C242:D242"/>
    <mergeCell ref="F242:I242"/>
    <mergeCell ref="A52:A53"/>
    <mergeCell ref="B52:D53"/>
    <mergeCell ref="E52:E53"/>
    <mergeCell ref="B54:D54"/>
    <mergeCell ref="B184:D184"/>
    <mergeCell ref="B55:D55"/>
    <mergeCell ref="B218:L218"/>
    <mergeCell ref="B219:L219"/>
    <mergeCell ref="B213:L213"/>
    <mergeCell ref="F217:I217"/>
    <mergeCell ref="J217:L217"/>
    <mergeCell ref="A207:A208"/>
    <mergeCell ref="B207:D208"/>
    <mergeCell ref="E207:E208"/>
    <mergeCell ref="B209:D209"/>
    <mergeCell ref="A211:M211"/>
    <mergeCell ref="B197:K197"/>
    <mergeCell ref="B206:K206"/>
    <mergeCell ref="B214:L214"/>
    <mergeCell ref="B215:L215"/>
    <mergeCell ref="B216:L216"/>
    <mergeCell ref="F52:H52"/>
    <mergeCell ref="F131:J131"/>
    <mergeCell ref="F166:I166"/>
    <mergeCell ref="A223:A225"/>
    <mergeCell ref="B223:D223"/>
    <mergeCell ref="F223:H223"/>
    <mergeCell ref="I223:L223"/>
    <mergeCell ref="B224:B225"/>
    <mergeCell ref="C224:E224"/>
    <mergeCell ref="F224:F225"/>
    <mergeCell ref="N152:BG152"/>
    <mergeCell ref="F156:J156"/>
    <mergeCell ref="G224:H224"/>
    <mergeCell ref="B191:L191"/>
    <mergeCell ref="C192:D192"/>
    <mergeCell ref="F192:I192"/>
    <mergeCell ref="J192:L192"/>
    <mergeCell ref="B193:L193"/>
    <mergeCell ref="B194:L194"/>
    <mergeCell ref="B162:L162"/>
    <mergeCell ref="A160:M160"/>
    <mergeCell ref="A186:M186"/>
    <mergeCell ref="B188:L188"/>
    <mergeCell ref="B189:L189"/>
    <mergeCell ref="B190:L190"/>
    <mergeCell ref="J166:L166"/>
    <mergeCell ref="C217:D217"/>
    <mergeCell ref="I2:L2"/>
    <mergeCell ref="C166:D166"/>
    <mergeCell ref="B165:L165"/>
    <mergeCell ref="B164:L164"/>
    <mergeCell ref="B163:L163"/>
    <mergeCell ref="C173:E173"/>
    <mergeCell ref="I172:L172"/>
    <mergeCell ref="F172:H172"/>
    <mergeCell ref="B172:D172"/>
    <mergeCell ref="B168:L168"/>
    <mergeCell ref="B167:L167"/>
    <mergeCell ref="B147:D147"/>
    <mergeCell ref="B111:L111"/>
    <mergeCell ref="B113:L113"/>
    <mergeCell ref="B114:L114"/>
    <mergeCell ref="C115:D115"/>
    <mergeCell ref="F115:I115"/>
    <mergeCell ref="J115:L115"/>
    <mergeCell ref="B116:L116"/>
    <mergeCell ref="B81:D81"/>
    <mergeCell ref="A83:M83"/>
    <mergeCell ref="B85:L85"/>
    <mergeCell ref="B86:L86"/>
    <mergeCell ref="B112:L112"/>
  </mergeCells>
  <printOptions/>
  <pageMargins left="0.984251968503937" right="0.3937007874015748" top="0.1968503937007874" bottom="0.3937007874015748" header="0.31496062992125984" footer="0.11811023622047245"/>
  <pageSetup fitToHeight="0" horizontalDpi="600" verticalDpi="600" orientation="landscape" paperSize="9" scale="50" r:id="rId1"/>
  <headerFooter>
    <oddFooter>&amp;R&amp;"Arial,курсив"&amp;8&amp;A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14"/>
  <sheetViews>
    <sheetView zoomScale="78" zoomScaleNormal="78" zoomScaleSheetLayoutView="100" zoomScalePageLayoutView="0" workbookViewId="0" topLeftCell="A194">
      <selection activeCell="A200" sqref="A200:N208"/>
    </sheetView>
  </sheetViews>
  <sheetFormatPr defaultColWidth="9.140625" defaultRowHeight="12.75"/>
  <cols>
    <col min="1" max="1" width="32.00390625" style="256" customWidth="1"/>
    <col min="2" max="2" width="12.8515625" style="256" customWidth="1"/>
    <col min="3" max="3" width="13.140625" style="256" customWidth="1"/>
    <col min="4" max="4" width="11.7109375" style="256" bestFit="1" customWidth="1"/>
    <col min="5" max="5" width="12.57421875" style="256" customWidth="1"/>
    <col min="6" max="6" width="11.00390625" style="256" customWidth="1"/>
    <col min="7" max="7" width="11.8515625" style="256" customWidth="1"/>
    <col min="8" max="8" width="12.421875" style="256" customWidth="1"/>
    <col min="9" max="9" width="12.7109375" style="256" customWidth="1"/>
    <col min="10" max="10" width="12.8515625" style="256" customWidth="1"/>
    <col min="11" max="11" width="12.28125" style="256" customWidth="1"/>
    <col min="12" max="12" width="12.140625" style="256" customWidth="1"/>
    <col min="13" max="13" width="12.57421875" style="256" customWidth="1"/>
    <col min="14" max="14" width="9.140625" style="256" customWidth="1"/>
    <col min="15" max="15" width="10.7109375" style="256" bestFit="1" customWidth="1"/>
    <col min="16" max="16384" width="9.140625" style="256" customWidth="1"/>
  </cols>
  <sheetData>
    <row r="1" spans="1:13" ht="31.5" customHeight="1">
      <c r="A1" s="213" t="s">
        <v>0</v>
      </c>
      <c r="H1" s="990" t="s">
        <v>316</v>
      </c>
      <c r="I1" s="990"/>
      <c r="J1" s="990"/>
      <c r="K1" s="990"/>
      <c r="L1" s="990"/>
      <c r="M1" s="990"/>
    </row>
    <row r="2" spans="1:13" ht="17.25" customHeight="1">
      <c r="A2" s="314"/>
      <c r="H2" s="990" t="s">
        <v>271</v>
      </c>
      <c r="I2" s="990"/>
      <c r="J2" s="990"/>
      <c r="K2" s="990"/>
      <c r="L2" s="990"/>
      <c r="M2" s="990"/>
    </row>
    <row r="3" spans="1:13" ht="15.75" customHeight="1">
      <c r="A3" s="314"/>
      <c r="H3" s="990" t="s">
        <v>270</v>
      </c>
      <c r="I3" s="990"/>
      <c r="J3" s="990"/>
      <c r="K3" s="990"/>
      <c r="L3" s="990"/>
      <c r="M3" s="990"/>
    </row>
    <row r="4" spans="1:13" ht="20.25" customHeight="1">
      <c r="A4" s="991" t="s">
        <v>315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</row>
    <row r="5" ht="1.5" customHeight="1" thickBot="1"/>
    <row r="6" spans="1:12" ht="24" customHeight="1" thickBot="1">
      <c r="A6" s="283" t="s">
        <v>303</v>
      </c>
      <c r="B6" s="993" t="s">
        <v>302</v>
      </c>
      <c r="C6" s="994"/>
      <c r="D6" s="994"/>
      <c r="E6" s="994"/>
      <c r="F6" s="994"/>
      <c r="G6" s="994"/>
      <c r="H6" s="994"/>
      <c r="I6" s="994"/>
      <c r="J6" s="994"/>
      <c r="K6" s="994"/>
      <c r="L6" s="994"/>
    </row>
    <row r="7" spans="1:12" ht="20.25" customHeight="1" thickBot="1">
      <c r="A7" s="278" t="s">
        <v>301</v>
      </c>
      <c r="B7" s="993" t="s">
        <v>320</v>
      </c>
      <c r="C7" s="994"/>
      <c r="D7" s="994"/>
      <c r="E7" s="994"/>
      <c r="F7" s="994"/>
      <c r="G7" s="994"/>
      <c r="H7" s="994"/>
      <c r="I7" s="994"/>
      <c r="J7" s="994"/>
      <c r="K7" s="994"/>
      <c r="L7" s="994"/>
    </row>
    <row r="8" spans="1:12" ht="48.75" customHeight="1" thickBot="1">
      <c r="A8" s="282" t="s">
        <v>299</v>
      </c>
      <c r="B8" s="993" t="s">
        <v>361</v>
      </c>
      <c r="C8" s="994"/>
      <c r="D8" s="994"/>
      <c r="E8" s="994"/>
      <c r="F8" s="994"/>
      <c r="G8" s="994"/>
      <c r="H8" s="994"/>
      <c r="I8" s="994"/>
      <c r="J8" s="994"/>
      <c r="K8" s="994"/>
      <c r="L8" s="994"/>
    </row>
    <row r="9" spans="1:12" ht="29.25" customHeight="1" thickBot="1">
      <c r="A9" s="281" t="s">
        <v>297</v>
      </c>
      <c r="B9" s="995" t="s">
        <v>93</v>
      </c>
      <c r="C9" s="995"/>
      <c r="D9" s="995"/>
      <c r="E9" s="995"/>
      <c r="F9" s="995"/>
      <c r="G9" s="995"/>
      <c r="H9" s="995"/>
      <c r="I9" s="995"/>
      <c r="J9" s="995"/>
      <c r="K9" s="995"/>
      <c r="L9" s="996"/>
    </row>
    <row r="10" spans="1:12" ht="32.25" customHeight="1" thickBot="1">
      <c r="A10" s="278" t="s">
        <v>295</v>
      </c>
      <c r="B10" s="280" t="s">
        <v>294</v>
      </c>
      <c r="C10" s="997" t="s">
        <v>293</v>
      </c>
      <c r="D10" s="993"/>
      <c r="E10" s="279"/>
      <c r="F10" s="997" t="s">
        <v>292</v>
      </c>
      <c r="G10" s="998"/>
      <c r="H10" s="998"/>
      <c r="I10" s="993"/>
      <c r="J10" s="998" t="s">
        <v>291</v>
      </c>
      <c r="K10" s="998"/>
      <c r="L10" s="998"/>
    </row>
    <row r="11" spans="1:12" ht="64.5" customHeight="1" thickBot="1">
      <c r="A11" s="278" t="s">
        <v>290</v>
      </c>
      <c r="B11" s="988" t="s">
        <v>362</v>
      </c>
      <c r="C11" s="989"/>
      <c r="D11" s="989"/>
      <c r="E11" s="989"/>
      <c r="F11" s="989"/>
      <c r="G11" s="989"/>
      <c r="H11" s="989"/>
      <c r="I11" s="989"/>
      <c r="J11" s="989"/>
      <c r="K11" s="989"/>
      <c r="L11" s="989"/>
    </row>
    <row r="12" spans="1:12" ht="51.75" customHeight="1" thickBot="1">
      <c r="A12" s="278" t="s">
        <v>288</v>
      </c>
      <c r="B12" s="1003" t="s">
        <v>317</v>
      </c>
      <c r="C12" s="994"/>
      <c r="D12" s="994"/>
      <c r="E12" s="994"/>
      <c r="F12" s="994"/>
      <c r="G12" s="994"/>
      <c r="H12" s="994"/>
      <c r="I12" s="994"/>
      <c r="J12" s="994"/>
      <c r="K12" s="994"/>
      <c r="L12" s="994"/>
    </row>
    <row r="13" ht="0.75" customHeight="1"/>
    <row r="14" ht="20.25" customHeight="1">
      <c r="A14" s="277" t="s">
        <v>286</v>
      </c>
    </row>
    <row r="15" spans="1:12" ht="45.75" customHeight="1" thickBot="1">
      <c r="A15" s="265" t="s">
        <v>283</v>
      </c>
      <c r="B15" s="1004" t="s">
        <v>361</v>
      </c>
      <c r="C15" s="1004"/>
      <c r="D15" s="1004"/>
      <c r="E15" s="1004"/>
      <c r="F15" s="1004"/>
      <c r="G15" s="1004"/>
      <c r="H15" s="1004"/>
      <c r="I15" s="1004"/>
      <c r="J15" s="1004"/>
      <c r="K15" s="1004"/>
      <c r="L15" s="276" t="s">
        <v>285</v>
      </c>
    </row>
    <row r="16" spans="1:13" ht="27.75" customHeight="1">
      <c r="A16" s="1005" t="s">
        <v>278</v>
      </c>
      <c r="B16" s="1008" t="s">
        <v>262</v>
      </c>
      <c r="C16" s="1009"/>
      <c r="D16" s="1009"/>
      <c r="E16" s="275"/>
      <c r="F16" s="999" t="s">
        <v>261</v>
      </c>
      <c r="G16" s="999"/>
      <c r="H16" s="999"/>
      <c r="I16" s="1008" t="s">
        <v>260</v>
      </c>
      <c r="J16" s="1009"/>
      <c r="K16" s="1009"/>
      <c r="L16" s="1010"/>
      <c r="M16" s="273" t="s">
        <v>259</v>
      </c>
    </row>
    <row r="17" spans="1:13" ht="13.5" customHeight="1">
      <c r="A17" s="1006"/>
      <c r="B17" s="1011" t="s">
        <v>258</v>
      </c>
      <c r="C17" s="1008" t="s">
        <v>256</v>
      </c>
      <c r="D17" s="1009"/>
      <c r="E17" s="1010"/>
      <c r="F17" s="1011" t="s">
        <v>257</v>
      </c>
      <c r="G17" s="1008" t="s">
        <v>256</v>
      </c>
      <c r="H17" s="1014"/>
      <c r="I17" s="1011" t="s">
        <v>257</v>
      </c>
      <c r="J17" s="1015" t="s">
        <v>256</v>
      </c>
      <c r="K17" s="1016"/>
      <c r="L17" s="1017"/>
      <c r="M17" s="271"/>
    </row>
    <row r="18" spans="1:13" ht="95.25" thickBot="1">
      <c r="A18" s="1007"/>
      <c r="B18" s="1012"/>
      <c r="C18" s="270" t="s">
        <v>252</v>
      </c>
      <c r="D18" s="270" t="s">
        <v>277</v>
      </c>
      <c r="E18" s="270" t="s">
        <v>276</v>
      </c>
      <c r="F18" s="1013"/>
      <c r="G18" s="270" t="s">
        <v>275</v>
      </c>
      <c r="H18" s="270" t="s">
        <v>253</v>
      </c>
      <c r="I18" s="1013"/>
      <c r="J18" s="270" t="s">
        <v>252</v>
      </c>
      <c r="K18" s="270" t="s">
        <v>251</v>
      </c>
      <c r="L18" s="270" t="s">
        <v>274</v>
      </c>
      <c r="M18" s="267"/>
    </row>
    <row r="19" spans="1:13" ht="18.75" customHeight="1">
      <c r="A19" s="522" t="s">
        <v>19</v>
      </c>
      <c r="B19" s="526">
        <f>C19+D19+E19</f>
        <v>408357.10000000003</v>
      </c>
      <c r="C19" s="402">
        <f>'прил 4-1'!G24</f>
        <v>318592.10000000003</v>
      </c>
      <c r="D19" s="402">
        <f>'прил 4-1'!H24</f>
        <v>89765</v>
      </c>
      <c r="E19" s="402"/>
      <c r="F19" s="402"/>
      <c r="G19" s="402"/>
      <c r="H19" s="402"/>
      <c r="I19" s="526">
        <f>J19+K19+L19</f>
        <v>162537.09999999998</v>
      </c>
      <c r="J19" s="402">
        <f>'прил 4-2'!G23</f>
        <v>49712.7</v>
      </c>
      <c r="K19" s="402">
        <f>'прил 4-2'!H23</f>
        <v>112824.4</v>
      </c>
      <c r="L19" s="527"/>
      <c r="M19" s="528">
        <f>B19+I19</f>
        <v>570894.2</v>
      </c>
    </row>
    <row r="20" spans="1:13" ht="18.75" customHeight="1">
      <c r="A20" s="522" t="s">
        <v>20</v>
      </c>
      <c r="B20" s="526">
        <f>C20+D20+E20</f>
        <v>408357.10000000003</v>
      </c>
      <c r="C20" s="402">
        <f>C19</f>
        <v>318592.10000000003</v>
      </c>
      <c r="D20" s="268">
        <f>D19</f>
        <v>89765</v>
      </c>
      <c r="E20" s="402"/>
      <c r="F20" s="402"/>
      <c r="G20" s="402"/>
      <c r="H20" s="402"/>
      <c r="I20" s="526">
        <f>J20+K20+L20</f>
        <v>162537.09999999998</v>
      </c>
      <c r="J20" s="402">
        <f>J19</f>
        <v>49712.7</v>
      </c>
      <c r="K20" s="402">
        <f>K19</f>
        <v>112824.4</v>
      </c>
      <c r="L20" s="527"/>
      <c r="M20" s="528">
        <f>B20+I20</f>
        <v>570894.2</v>
      </c>
    </row>
    <row r="21" spans="1:13" ht="18.75" customHeight="1">
      <c r="A21" s="527" t="s">
        <v>21</v>
      </c>
      <c r="B21" s="526">
        <f>C21+D21+E21</f>
        <v>408357.10000000003</v>
      </c>
      <c r="C21" s="402">
        <f>C20</f>
        <v>318592.10000000003</v>
      </c>
      <c r="D21" s="268">
        <f>D20</f>
        <v>89765</v>
      </c>
      <c r="E21" s="522"/>
      <c r="F21" s="522"/>
      <c r="G21" s="522"/>
      <c r="H21" s="522"/>
      <c r="I21" s="526">
        <f>J21+K21+L21</f>
        <v>162537.09999999998</v>
      </c>
      <c r="J21" s="402">
        <f>J20</f>
        <v>49712.7</v>
      </c>
      <c r="K21" s="402">
        <f>K20</f>
        <v>112824.4</v>
      </c>
      <c r="L21" s="522"/>
      <c r="M21" s="528">
        <f>B21+I21</f>
        <v>570894.2</v>
      </c>
    </row>
    <row r="22" spans="1:13" s="481" customFormat="1" ht="18.75" customHeight="1">
      <c r="A22" s="482"/>
      <c r="B22" s="483"/>
      <c r="C22" s="484"/>
      <c r="D22" s="484"/>
      <c r="E22" s="483"/>
      <c r="F22" s="483"/>
      <c r="G22" s="483"/>
      <c r="H22" s="483"/>
      <c r="I22" s="483"/>
      <c r="J22" s="483"/>
      <c r="K22" s="483"/>
      <c r="L22" s="483"/>
      <c r="M22" s="485"/>
    </row>
    <row r="23" ht="15.75">
      <c r="A23" s="265" t="s">
        <v>284</v>
      </c>
    </row>
    <row r="24" spans="1:4" ht="22.5" customHeight="1">
      <c r="A24" s="265" t="s">
        <v>283</v>
      </c>
      <c r="B24" s="407"/>
      <c r="C24" s="407"/>
      <c r="D24" s="407"/>
    </row>
    <row r="25" spans="1:10" ht="16.5" customHeight="1">
      <c r="A25" s="999" t="s">
        <v>282</v>
      </c>
      <c r="B25" s="999" t="s">
        <v>281</v>
      </c>
      <c r="C25" s="999"/>
      <c r="D25" s="999"/>
      <c r="E25" s="999" t="s">
        <v>69</v>
      </c>
      <c r="F25" s="999" t="s">
        <v>15</v>
      </c>
      <c r="G25" s="999"/>
      <c r="H25" s="999"/>
      <c r="I25" s="999"/>
      <c r="J25" s="999"/>
    </row>
    <row r="26" spans="1:10" ht="22.5" customHeight="1">
      <c r="A26" s="999"/>
      <c r="B26" s="999"/>
      <c r="C26" s="999"/>
      <c r="D26" s="999"/>
      <c r="E26" s="999"/>
      <c r="F26" s="398" t="s">
        <v>17</v>
      </c>
      <c r="G26" s="398">
        <v>2019</v>
      </c>
      <c r="H26" s="398">
        <v>2020</v>
      </c>
      <c r="I26" s="398">
        <v>2021</v>
      </c>
      <c r="J26" s="398">
        <v>2022</v>
      </c>
    </row>
    <row r="27" spans="1:10" ht="61.5" customHeight="1" hidden="1">
      <c r="A27" s="313"/>
      <c r="B27" s="270"/>
      <c r="C27" s="270"/>
      <c r="D27" s="270"/>
      <c r="E27" s="311"/>
      <c r="F27" s="311"/>
      <c r="G27" s="310"/>
      <c r="H27" s="310"/>
      <c r="I27" s="310"/>
      <c r="J27" s="310"/>
    </row>
    <row r="28" spans="1:10" ht="57" customHeight="1" hidden="1">
      <c r="A28" s="312"/>
      <c r="B28" s="270"/>
      <c r="C28" s="270"/>
      <c r="D28" s="270"/>
      <c r="E28" s="311"/>
      <c r="F28" s="311"/>
      <c r="G28" s="310"/>
      <c r="H28" s="310"/>
      <c r="I28" s="310"/>
      <c r="J28" s="310"/>
    </row>
    <row r="29" spans="1:11" ht="71.25" customHeight="1">
      <c r="A29" s="309" t="s">
        <v>94</v>
      </c>
      <c r="B29" s="1000" t="s">
        <v>360</v>
      </c>
      <c r="C29" s="1001"/>
      <c r="D29" s="1002"/>
      <c r="E29" s="308" t="s">
        <v>152</v>
      </c>
      <c r="F29" s="307">
        <v>14</v>
      </c>
      <c r="G29" s="307">
        <v>15</v>
      </c>
      <c r="H29" s="307">
        <v>16</v>
      </c>
      <c r="I29" s="307">
        <v>17</v>
      </c>
      <c r="J29" s="307">
        <v>18</v>
      </c>
      <c r="K29" s="306"/>
    </row>
    <row r="30" spans="1:11" ht="36.75" customHeight="1">
      <c r="A30" s="309" t="s">
        <v>96</v>
      </c>
      <c r="B30" s="1000" t="s">
        <v>359</v>
      </c>
      <c r="C30" s="1001"/>
      <c r="D30" s="1002"/>
      <c r="E30" s="308" t="s">
        <v>97</v>
      </c>
      <c r="F30" s="307">
        <v>57</v>
      </c>
      <c r="G30" s="307">
        <v>57</v>
      </c>
      <c r="H30" s="307">
        <v>57</v>
      </c>
      <c r="I30" s="307">
        <v>57</v>
      </c>
      <c r="J30" s="307">
        <v>57</v>
      </c>
      <c r="K30" s="306"/>
    </row>
    <row r="31" spans="1:11" ht="42.75" customHeight="1">
      <c r="A31" s="309" t="s">
        <v>358</v>
      </c>
      <c r="B31" s="1000" t="s">
        <v>357</v>
      </c>
      <c r="C31" s="1001"/>
      <c r="D31" s="1002"/>
      <c r="E31" s="308" t="s">
        <v>356</v>
      </c>
      <c r="F31" s="307">
        <v>12.5</v>
      </c>
      <c r="G31" s="307">
        <v>12.4</v>
      </c>
      <c r="H31" s="307">
        <v>12.2</v>
      </c>
      <c r="I31" s="307">
        <v>12</v>
      </c>
      <c r="J31" s="307">
        <v>11.9</v>
      </c>
      <c r="K31" s="306"/>
    </row>
    <row r="32" spans="1:11" ht="33.75" customHeight="1">
      <c r="A32" s="309" t="s">
        <v>100</v>
      </c>
      <c r="B32" s="1000" t="s">
        <v>357</v>
      </c>
      <c r="C32" s="1001"/>
      <c r="D32" s="1002"/>
      <c r="E32" s="308" t="s">
        <v>356</v>
      </c>
      <c r="F32" s="307">
        <v>164</v>
      </c>
      <c r="G32" s="307">
        <v>150</v>
      </c>
      <c r="H32" s="307">
        <v>145.5</v>
      </c>
      <c r="I32" s="307">
        <v>144</v>
      </c>
      <c r="J32" s="307">
        <v>140</v>
      </c>
      <c r="K32" s="306"/>
    </row>
    <row r="33" spans="1:11" ht="34.5" customHeight="1">
      <c r="A33" s="309" t="s">
        <v>101</v>
      </c>
      <c r="B33" s="1000" t="s">
        <v>357</v>
      </c>
      <c r="C33" s="1001"/>
      <c r="D33" s="1002"/>
      <c r="E33" s="308" t="s">
        <v>356</v>
      </c>
      <c r="F33" s="307">
        <v>498</v>
      </c>
      <c r="G33" s="307">
        <v>490</v>
      </c>
      <c r="H33" s="307">
        <v>485</v>
      </c>
      <c r="I33" s="307">
        <v>480</v>
      </c>
      <c r="J33" s="307">
        <v>475</v>
      </c>
      <c r="K33" s="306"/>
    </row>
    <row r="35" spans="1:13" ht="20.25" customHeight="1">
      <c r="A35" s="991" t="s">
        <v>315</v>
      </c>
      <c r="B35" s="992"/>
      <c r="C35" s="992"/>
      <c r="D35" s="992"/>
      <c r="E35" s="992"/>
      <c r="F35" s="992"/>
      <c r="G35" s="992"/>
      <c r="H35" s="992"/>
      <c r="I35" s="992"/>
      <c r="J35" s="992"/>
      <c r="K35" s="992"/>
      <c r="L35" s="992"/>
      <c r="M35" s="992"/>
    </row>
    <row r="36" ht="1.5" customHeight="1" thickBot="1"/>
    <row r="37" spans="1:12" ht="24" customHeight="1" thickBot="1">
      <c r="A37" s="283" t="s">
        <v>303</v>
      </c>
      <c r="B37" s="993" t="s">
        <v>302</v>
      </c>
      <c r="C37" s="994"/>
      <c r="D37" s="994"/>
      <c r="E37" s="994"/>
      <c r="F37" s="994"/>
      <c r="G37" s="994"/>
      <c r="H37" s="994"/>
      <c r="I37" s="994"/>
      <c r="J37" s="994"/>
      <c r="K37" s="994"/>
      <c r="L37" s="994"/>
    </row>
    <row r="38" spans="1:12" ht="20.25" customHeight="1" thickBot="1">
      <c r="A38" s="278" t="s">
        <v>301</v>
      </c>
      <c r="B38" s="993" t="s">
        <v>320</v>
      </c>
      <c r="C38" s="994"/>
      <c r="D38" s="994"/>
      <c r="E38" s="994"/>
      <c r="F38" s="994"/>
      <c r="G38" s="994"/>
      <c r="H38" s="994"/>
      <c r="I38" s="994"/>
      <c r="J38" s="994"/>
      <c r="K38" s="994"/>
      <c r="L38" s="994"/>
    </row>
    <row r="39" spans="1:12" ht="20.25" customHeight="1" thickBot="1">
      <c r="A39" s="282" t="s">
        <v>299</v>
      </c>
      <c r="B39" s="993" t="s">
        <v>355</v>
      </c>
      <c r="C39" s="994"/>
      <c r="D39" s="994"/>
      <c r="E39" s="994"/>
      <c r="F39" s="994"/>
      <c r="G39" s="994"/>
      <c r="H39" s="994"/>
      <c r="I39" s="994"/>
      <c r="J39" s="994"/>
      <c r="K39" s="994"/>
      <c r="L39" s="994"/>
    </row>
    <row r="40" spans="1:12" ht="29.25" customHeight="1" thickBot="1">
      <c r="A40" s="281" t="s">
        <v>297</v>
      </c>
      <c r="B40" s="998" t="s">
        <v>354</v>
      </c>
      <c r="C40" s="998"/>
      <c r="D40" s="998"/>
      <c r="E40" s="998"/>
      <c r="F40" s="998"/>
      <c r="G40" s="998"/>
      <c r="H40" s="998"/>
      <c r="I40" s="998"/>
      <c r="J40" s="998"/>
      <c r="K40" s="998"/>
      <c r="L40" s="993"/>
    </row>
    <row r="41" spans="1:12" ht="32.25" customHeight="1" thickBot="1">
      <c r="A41" s="278" t="s">
        <v>295</v>
      </c>
      <c r="B41" s="280" t="s">
        <v>294</v>
      </c>
      <c r="C41" s="997" t="s">
        <v>293</v>
      </c>
      <c r="D41" s="993"/>
      <c r="E41" s="279"/>
      <c r="F41" s="997" t="s">
        <v>292</v>
      </c>
      <c r="G41" s="998"/>
      <c r="H41" s="998"/>
      <c r="I41" s="993"/>
      <c r="J41" s="998" t="s">
        <v>291</v>
      </c>
      <c r="K41" s="998"/>
      <c r="L41" s="998"/>
    </row>
    <row r="42" spans="1:12" ht="64.5" customHeight="1" thickBot="1">
      <c r="A42" s="278" t="s">
        <v>290</v>
      </c>
      <c r="B42" s="988" t="s">
        <v>353</v>
      </c>
      <c r="C42" s="989"/>
      <c r="D42" s="989"/>
      <c r="E42" s="989"/>
      <c r="F42" s="989"/>
      <c r="G42" s="989"/>
      <c r="H42" s="989"/>
      <c r="I42" s="989"/>
      <c r="J42" s="989"/>
      <c r="K42" s="989"/>
      <c r="L42" s="989"/>
    </row>
    <row r="43" spans="1:12" ht="32.25" customHeight="1" thickBot="1">
      <c r="A43" s="278" t="s">
        <v>288</v>
      </c>
      <c r="B43" s="1018" t="s">
        <v>352</v>
      </c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</row>
    <row r="44" ht="0.75" customHeight="1"/>
    <row r="45" ht="20.25" customHeight="1">
      <c r="A45" s="277" t="s">
        <v>286</v>
      </c>
    </row>
    <row r="46" spans="1:12" ht="18.75" customHeight="1" thickBot="1">
      <c r="A46" s="265" t="s">
        <v>283</v>
      </c>
      <c r="L46" s="276" t="s">
        <v>285</v>
      </c>
    </row>
    <row r="47" spans="1:13" ht="27.75" customHeight="1">
      <c r="A47" s="1005" t="s">
        <v>278</v>
      </c>
      <c r="B47" s="1008" t="s">
        <v>262</v>
      </c>
      <c r="C47" s="1009"/>
      <c r="D47" s="1009"/>
      <c r="E47" s="275"/>
      <c r="F47" s="999" t="s">
        <v>261</v>
      </c>
      <c r="G47" s="999"/>
      <c r="H47" s="999"/>
      <c r="I47" s="1008" t="s">
        <v>260</v>
      </c>
      <c r="J47" s="1009"/>
      <c r="K47" s="1009"/>
      <c r="L47" s="1010"/>
      <c r="M47" s="273" t="s">
        <v>259</v>
      </c>
    </row>
    <row r="48" spans="1:13" ht="13.5" customHeight="1">
      <c r="A48" s="1006"/>
      <c r="B48" s="1011" t="s">
        <v>258</v>
      </c>
      <c r="C48" s="1008" t="s">
        <v>256</v>
      </c>
      <c r="D48" s="1009"/>
      <c r="E48" s="1010"/>
      <c r="F48" s="1011" t="s">
        <v>257</v>
      </c>
      <c r="G48" s="1008" t="s">
        <v>256</v>
      </c>
      <c r="H48" s="1014"/>
      <c r="I48" s="1011" t="s">
        <v>257</v>
      </c>
      <c r="J48" s="1015" t="s">
        <v>256</v>
      </c>
      <c r="K48" s="1016"/>
      <c r="L48" s="1017"/>
      <c r="M48" s="271"/>
    </row>
    <row r="49" spans="1:13" ht="95.25" thickBot="1">
      <c r="A49" s="1007"/>
      <c r="B49" s="1012"/>
      <c r="C49" s="270" t="s">
        <v>252</v>
      </c>
      <c r="D49" s="270" t="s">
        <v>277</v>
      </c>
      <c r="E49" s="270" t="s">
        <v>276</v>
      </c>
      <c r="F49" s="1013"/>
      <c r="G49" s="270" t="s">
        <v>275</v>
      </c>
      <c r="H49" s="270" t="s">
        <v>253</v>
      </c>
      <c r="I49" s="1013"/>
      <c r="J49" s="270" t="s">
        <v>252</v>
      </c>
      <c r="K49" s="270" t="s">
        <v>251</v>
      </c>
      <c r="L49" s="270" t="s">
        <v>274</v>
      </c>
      <c r="M49" s="267"/>
    </row>
    <row r="50" spans="1:13" ht="15.75">
      <c r="A50" s="270" t="s">
        <v>19</v>
      </c>
      <c r="B50" s="269">
        <f>C50+D50+E50</f>
        <v>97477.5</v>
      </c>
      <c r="C50" s="268">
        <f>'прил 4-1'!G25</f>
        <v>1788</v>
      </c>
      <c r="D50" s="268">
        <f>'прил 4-1'!H25</f>
        <v>95689.5</v>
      </c>
      <c r="E50" s="268"/>
      <c r="F50" s="268"/>
      <c r="G50" s="268"/>
      <c r="H50" s="268"/>
      <c r="I50" s="269">
        <f>J50+K50+L50</f>
        <v>22751.7</v>
      </c>
      <c r="J50" s="402">
        <f>'прил 4-2'!G24</f>
        <v>1595.9</v>
      </c>
      <c r="K50" s="402">
        <f>'прил 4-2'!H24</f>
        <v>20665.3</v>
      </c>
      <c r="L50" s="267">
        <f>'прил 4-2'!N24</f>
        <v>490.5</v>
      </c>
      <c r="M50" s="269">
        <f>B50+I50</f>
        <v>120229.2</v>
      </c>
    </row>
    <row r="51" spans="1:13" ht="15.75">
      <c r="A51" s="270" t="s">
        <v>20</v>
      </c>
      <c r="B51" s="269">
        <f>C51+D51+E51</f>
        <v>97477.5</v>
      </c>
      <c r="C51" s="268">
        <f>C50</f>
        <v>1788</v>
      </c>
      <c r="D51" s="268">
        <f>D50</f>
        <v>95689.5</v>
      </c>
      <c r="E51" s="268"/>
      <c r="F51" s="268"/>
      <c r="G51" s="268"/>
      <c r="H51" s="268"/>
      <c r="I51" s="269">
        <f>J51+K51+L51</f>
        <v>22751.7</v>
      </c>
      <c r="J51" s="402">
        <f>J50</f>
        <v>1595.9</v>
      </c>
      <c r="K51" s="402">
        <f>K50</f>
        <v>20665.3</v>
      </c>
      <c r="L51" s="402">
        <f>L50</f>
        <v>490.5</v>
      </c>
      <c r="M51" s="269">
        <f>B51+I51</f>
        <v>120229.2</v>
      </c>
    </row>
    <row r="52" spans="1:13" ht="17.25" customHeight="1">
      <c r="A52" s="399" t="s">
        <v>21</v>
      </c>
      <c r="B52" s="269">
        <f>C52+D52+E52</f>
        <v>97477.5</v>
      </c>
      <c r="C52" s="268">
        <f>C51</f>
        <v>1788</v>
      </c>
      <c r="D52" s="268">
        <f>D51</f>
        <v>95689.5</v>
      </c>
      <c r="E52" s="394"/>
      <c r="F52" s="394"/>
      <c r="G52" s="394"/>
      <c r="H52" s="394"/>
      <c r="I52" s="269">
        <f>J52+K52+L52</f>
        <v>22751.7</v>
      </c>
      <c r="J52" s="402">
        <f>J51</f>
        <v>1595.9</v>
      </c>
      <c r="K52" s="402">
        <f>K51</f>
        <v>20665.3</v>
      </c>
      <c r="L52" s="402">
        <f>L51</f>
        <v>490.5</v>
      </c>
      <c r="M52" s="269">
        <f>B52+I52</f>
        <v>120229.2</v>
      </c>
    </row>
    <row r="53" spans="2:12" ht="17.25" customHeight="1"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</row>
    <row r="54" ht="15.75">
      <c r="A54" s="265" t="s">
        <v>284</v>
      </c>
    </row>
    <row r="55" spans="1:4" ht="22.5" customHeight="1" thickBot="1">
      <c r="A55" s="265" t="s">
        <v>283</v>
      </c>
      <c r="B55" s="264"/>
      <c r="C55" s="264"/>
      <c r="D55" s="264"/>
    </row>
    <row r="56" spans="1:10" ht="32.25" thickBot="1">
      <c r="A56" s="1005" t="s">
        <v>282</v>
      </c>
      <c r="B56" s="1020" t="s">
        <v>281</v>
      </c>
      <c r="C56" s="1021"/>
      <c r="D56" s="1022"/>
      <c r="E56" s="1005" t="s">
        <v>69</v>
      </c>
      <c r="F56" s="262" t="s">
        <v>14</v>
      </c>
      <c r="G56" s="1026" t="s">
        <v>15</v>
      </c>
      <c r="H56" s="1027"/>
      <c r="I56" s="1027"/>
      <c r="J56" s="1028"/>
    </row>
    <row r="57" spans="1:10" ht="16.5" thickBot="1">
      <c r="A57" s="1007"/>
      <c r="B57" s="1023"/>
      <c r="C57" s="1024"/>
      <c r="D57" s="1025"/>
      <c r="E57" s="1007"/>
      <c r="F57" s="260">
        <v>2018</v>
      </c>
      <c r="G57" s="260">
        <v>2019</v>
      </c>
      <c r="H57" s="260">
        <v>2020</v>
      </c>
      <c r="I57" s="260">
        <v>2021</v>
      </c>
      <c r="J57" s="260">
        <v>2022</v>
      </c>
    </row>
    <row r="58" spans="1:10" ht="47.25" customHeight="1">
      <c r="A58" s="228" t="s">
        <v>105</v>
      </c>
      <c r="B58" s="1029" t="s">
        <v>351</v>
      </c>
      <c r="C58" s="1030"/>
      <c r="D58" s="1031"/>
      <c r="E58" s="270" t="s">
        <v>106</v>
      </c>
      <c r="F58" s="305">
        <v>0.941</v>
      </c>
      <c r="G58" s="305" t="s">
        <v>350</v>
      </c>
      <c r="H58" s="305" t="s">
        <v>350</v>
      </c>
      <c r="I58" s="305" t="s">
        <v>350</v>
      </c>
      <c r="J58" s="305" t="s">
        <v>350</v>
      </c>
    </row>
    <row r="59" spans="1:10" ht="76.5">
      <c r="A59" s="228" t="s">
        <v>349</v>
      </c>
      <c r="B59" s="1008" t="s">
        <v>136</v>
      </c>
      <c r="C59" s="1009"/>
      <c r="D59" s="1010"/>
      <c r="E59" s="270" t="s">
        <v>106</v>
      </c>
      <c r="F59" s="305">
        <v>0.95</v>
      </c>
      <c r="G59" s="305" t="s">
        <v>348</v>
      </c>
      <c r="H59" s="305" t="s">
        <v>348</v>
      </c>
      <c r="I59" s="305" t="s">
        <v>348</v>
      </c>
      <c r="J59" s="305" t="s">
        <v>348</v>
      </c>
    </row>
    <row r="62" spans="1:13" ht="20.25" customHeight="1">
      <c r="A62" s="991" t="s">
        <v>315</v>
      </c>
      <c r="B62" s="992"/>
      <c r="C62" s="992"/>
      <c r="D62" s="992"/>
      <c r="E62" s="992"/>
      <c r="F62" s="992"/>
      <c r="G62" s="992"/>
      <c r="H62" s="992"/>
      <c r="I62" s="992"/>
      <c r="J62" s="992"/>
      <c r="K62" s="992"/>
      <c r="L62" s="992"/>
      <c r="M62" s="992"/>
    </row>
    <row r="63" ht="1.5" customHeight="1" thickBot="1"/>
    <row r="64" spans="1:12" ht="24" customHeight="1" thickBot="1">
      <c r="A64" s="283" t="s">
        <v>303</v>
      </c>
      <c r="B64" s="993" t="s">
        <v>302</v>
      </c>
      <c r="C64" s="994"/>
      <c r="D64" s="994"/>
      <c r="E64" s="994"/>
      <c r="F64" s="994"/>
      <c r="G64" s="994"/>
      <c r="H64" s="994"/>
      <c r="I64" s="994"/>
      <c r="J64" s="994"/>
      <c r="K64" s="994"/>
      <c r="L64" s="994"/>
    </row>
    <row r="65" spans="1:12" ht="20.25" customHeight="1" thickBot="1">
      <c r="A65" s="278" t="s">
        <v>301</v>
      </c>
      <c r="B65" s="993" t="s">
        <v>320</v>
      </c>
      <c r="C65" s="994"/>
      <c r="D65" s="994"/>
      <c r="E65" s="994"/>
      <c r="F65" s="994"/>
      <c r="G65" s="994"/>
      <c r="H65" s="994"/>
      <c r="I65" s="994"/>
      <c r="J65" s="994"/>
      <c r="K65" s="994"/>
      <c r="L65" s="994"/>
    </row>
    <row r="66" spans="1:12" ht="20.25" customHeight="1" thickBot="1">
      <c r="A66" s="282" t="s">
        <v>299</v>
      </c>
      <c r="B66" s="993" t="s">
        <v>347</v>
      </c>
      <c r="C66" s="994"/>
      <c r="D66" s="994"/>
      <c r="E66" s="994"/>
      <c r="F66" s="994"/>
      <c r="G66" s="994"/>
      <c r="H66" s="994"/>
      <c r="I66" s="994"/>
      <c r="J66" s="994"/>
      <c r="K66" s="994"/>
      <c r="L66" s="994"/>
    </row>
    <row r="67" spans="1:12" ht="29.25" customHeight="1" thickBot="1">
      <c r="A67" s="281" t="s">
        <v>297</v>
      </c>
      <c r="B67" s="995" t="s">
        <v>113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6"/>
    </row>
    <row r="68" spans="1:12" ht="32.25" customHeight="1" thickBot="1">
      <c r="A68" s="278" t="s">
        <v>295</v>
      </c>
      <c r="B68" s="280" t="s">
        <v>294</v>
      </c>
      <c r="C68" s="997" t="s">
        <v>293</v>
      </c>
      <c r="D68" s="993"/>
      <c r="E68" s="279"/>
      <c r="F68" s="997" t="s">
        <v>292</v>
      </c>
      <c r="G68" s="998"/>
      <c r="H68" s="998"/>
      <c r="I68" s="993"/>
      <c r="J68" s="998" t="s">
        <v>291</v>
      </c>
      <c r="K68" s="998"/>
      <c r="L68" s="998"/>
    </row>
    <row r="69" spans="1:12" ht="64.5" customHeight="1" thickBot="1">
      <c r="A69" s="278" t="s">
        <v>290</v>
      </c>
      <c r="B69" s="988" t="s">
        <v>346</v>
      </c>
      <c r="C69" s="989"/>
      <c r="D69" s="989"/>
      <c r="E69" s="989"/>
      <c r="F69" s="989"/>
      <c r="G69" s="989"/>
      <c r="H69" s="989"/>
      <c r="I69" s="989"/>
      <c r="J69" s="989"/>
      <c r="K69" s="989"/>
      <c r="L69" s="989"/>
    </row>
    <row r="70" spans="1:12" ht="32.25" customHeight="1" thickBot="1">
      <c r="A70" s="278" t="s">
        <v>288</v>
      </c>
      <c r="B70" s="1003" t="s">
        <v>317</v>
      </c>
      <c r="C70" s="994"/>
      <c r="D70" s="994"/>
      <c r="E70" s="994"/>
      <c r="F70" s="994"/>
      <c r="G70" s="994"/>
      <c r="H70" s="994"/>
      <c r="I70" s="994"/>
      <c r="J70" s="994"/>
      <c r="K70" s="994"/>
      <c r="L70" s="994"/>
    </row>
    <row r="71" ht="0.75" customHeight="1"/>
    <row r="72" ht="20.25" customHeight="1">
      <c r="A72" s="277" t="s">
        <v>286</v>
      </c>
    </row>
    <row r="73" spans="1:12" ht="18.75" customHeight="1">
      <c r="A73" s="265" t="s">
        <v>283</v>
      </c>
      <c r="L73" s="276" t="s">
        <v>285</v>
      </c>
    </row>
    <row r="74" spans="1:13" ht="27.75" customHeight="1">
      <c r="A74" s="999" t="s">
        <v>278</v>
      </c>
      <c r="B74" s="999" t="s">
        <v>262</v>
      </c>
      <c r="C74" s="999"/>
      <c r="D74" s="999"/>
      <c r="E74" s="394"/>
      <c r="F74" s="999" t="s">
        <v>261</v>
      </c>
      <c r="G74" s="999"/>
      <c r="H74" s="999"/>
      <c r="I74" s="999" t="s">
        <v>260</v>
      </c>
      <c r="J74" s="999"/>
      <c r="K74" s="999"/>
      <c r="L74" s="999"/>
      <c r="M74" s="273" t="s">
        <v>259</v>
      </c>
    </row>
    <row r="75" spans="1:13" ht="13.5" customHeight="1">
      <c r="A75" s="999"/>
      <c r="B75" s="999" t="s">
        <v>258</v>
      </c>
      <c r="C75" s="999" t="s">
        <v>256</v>
      </c>
      <c r="D75" s="999"/>
      <c r="E75" s="999"/>
      <c r="F75" s="999" t="s">
        <v>257</v>
      </c>
      <c r="G75" s="999" t="s">
        <v>256</v>
      </c>
      <c r="H75" s="1038"/>
      <c r="I75" s="999" t="s">
        <v>257</v>
      </c>
      <c r="J75" s="999" t="s">
        <v>256</v>
      </c>
      <c r="K75" s="999"/>
      <c r="L75" s="999"/>
      <c r="M75" s="273"/>
    </row>
    <row r="76" spans="1:13" ht="94.5">
      <c r="A76" s="999"/>
      <c r="B76" s="1037"/>
      <c r="C76" s="394" t="s">
        <v>252</v>
      </c>
      <c r="D76" s="394" t="s">
        <v>277</v>
      </c>
      <c r="E76" s="394" t="s">
        <v>276</v>
      </c>
      <c r="F76" s="999"/>
      <c r="G76" s="394" t="s">
        <v>275</v>
      </c>
      <c r="H76" s="394" t="s">
        <v>253</v>
      </c>
      <c r="I76" s="999"/>
      <c r="J76" s="394" t="s">
        <v>252</v>
      </c>
      <c r="K76" s="394" t="s">
        <v>251</v>
      </c>
      <c r="L76" s="394" t="s">
        <v>274</v>
      </c>
      <c r="M76" s="267"/>
    </row>
    <row r="77" spans="1:13" ht="15.75">
      <c r="A77" s="394" t="s">
        <v>19</v>
      </c>
      <c r="B77" s="269">
        <f>C77+D77+E77</f>
        <v>15358.7</v>
      </c>
      <c r="C77" s="402">
        <f>'прил 4-1'!G26</f>
        <v>12334.7</v>
      </c>
      <c r="D77" s="402">
        <f>'прил 4-1'!H26</f>
        <v>3024</v>
      </c>
      <c r="E77" s="268"/>
      <c r="F77" s="268"/>
      <c r="G77" s="268"/>
      <c r="H77" s="268"/>
      <c r="I77" s="269">
        <f>J77+K77+L77</f>
        <v>523.5</v>
      </c>
      <c r="J77" s="268"/>
      <c r="K77" s="268">
        <f>'прил 4-2'!H25</f>
        <v>523.5</v>
      </c>
      <c r="L77" s="267"/>
      <c r="M77" s="401">
        <f>B77+I77</f>
        <v>15882.2</v>
      </c>
    </row>
    <row r="78" spans="1:13" ht="15.75">
      <c r="A78" s="394" t="s">
        <v>20</v>
      </c>
      <c r="B78" s="269">
        <f>C78+D78+E78</f>
        <v>15358.7</v>
      </c>
      <c r="C78" s="402">
        <f>C77</f>
        <v>12334.7</v>
      </c>
      <c r="D78" s="402">
        <f>D77</f>
        <v>3024</v>
      </c>
      <c r="E78" s="268"/>
      <c r="F78" s="268"/>
      <c r="G78" s="268"/>
      <c r="H78" s="268"/>
      <c r="I78" s="269">
        <f>J78+K78+L78</f>
        <v>523.5</v>
      </c>
      <c r="J78" s="268"/>
      <c r="K78" s="268">
        <f>K77</f>
        <v>523.5</v>
      </c>
      <c r="L78" s="267"/>
      <c r="M78" s="401">
        <f>B78+I78</f>
        <v>15882.2</v>
      </c>
    </row>
    <row r="79" spans="1:13" ht="13.5" customHeight="1">
      <c r="A79" s="399" t="s">
        <v>21</v>
      </c>
      <c r="B79" s="269">
        <f>C79+D79+E79</f>
        <v>15358.7</v>
      </c>
      <c r="C79" s="402">
        <f>C78</f>
        <v>12334.7</v>
      </c>
      <c r="D79" s="402">
        <f>D78</f>
        <v>3024</v>
      </c>
      <c r="E79" s="268"/>
      <c r="F79" s="394"/>
      <c r="G79" s="394"/>
      <c r="H79" s="394"/>
      <c r="I79" s="269">
        <f>J79+K79+L79</f>
        <v>523.5</v>
      </c>
      <c r="J79" s="268"/>
      <c r="K79" s="268">
        <f>K78</f>
        <v>523.5</v>
      </c>
      <c r="L79" s="394"/>
      <c r="M79" s="401">
        <f>B79+I79</f>
        <v>15882.2</v>
      </c>
    </row>
    <row r="80" spans="1:13" ht="13.5" customHeight="1">
      <c r="A80" s="400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400"/>
    </row>
    <row r="81" ht="15.75">
      <c r="A81" s="265" t="s">
        <v>284</v>
      </c>
    </row>
    <row r="82" spans="1:4" ht="22.5" customHeight="1" thickBot="1">
      <c r="A82" s="265" t="s">
        <v>283</v>
      </c>
      <c r="B82" s="264"/>
      <c r="C82" s="264"/>
      <c r="D82" s="264"/>
    </row>
    <row r="83" spans="1:10" ht="32.25" thickBot="1">
      <c r="A83" s="999" t="s">
        <v>282</v>
      </c>
      <c r="B83" s="1021" t="s">
        <v>281</v>
      </c>
      <c r="C83" s="1021"/>
      <c r="D83" s="1022"/>
      <c r="E83" s="1005" t="s">
        <v>69</v>
      </c>
      <c r="F83" s="262" t="s">
        <v>14</v>
      </c>
      <c r="G83" s="1026" t="s">
        <v>15</v>
      </c>
      <c r="H83" s="1027"/>
      <c r="I83" s="1027"/>
      <c r="J83" s="1028"/>
    </row>
    <row r="84" spans="1:10" ht="15.75">
      <c r="A84" s="999"/>
      <c r="B84" s="1032"/>
      <c r="C84" s="1032"/>
      <c r="D84" s="1033"/>
      <c r="E84" s="1006"/>
      <c r="F84" s="302" t="s">
        <v>17</v>
      </c>
      <c r="G84" s="302" t="s">
        <v>18</v>
      </c>
      <c r="H84" s="302" t="s">
        <v>19</v>
      </c>
      <c r="I84" s="302" t="s">
        <v>20</v>
      </c>
      <c r="J84" s="302" t="s">
        <v>21</v>
      </c>
    </row>
    <row r="85" spans="1:10" ht="47.25" customHeight="1">
      <c r="A85" s="301" t="s">
        <v>345</v>
      </c>
      <c r="B85" s="1034" t="s">
        <v>344</v>
      </c>
      <c r="C85" s="1035"/>
      <c r="D85" s="1036"/>
      <c r="E85" s="270" t="s">
        <v>95</v>
      </c>
      <c r="F85" s="299">
        <v>250</v>
      </c>
      <c r="G85" s="299">
        <v>250</v>
      </c>
      <c r="H85" s="299">
        <v>250</v>
      </c>
      <c r="I85" s="299">
        <v>250</v>
      </c>
      <c r="J85" s="298">
        <v>250</v>
      </c>
    </row>
    <row r="86" spans="1:10" ht="25.5">
      <c r="A86" s="301" t="s">
        <v>343</v>
      </c>
      <c r="B86" s="1034" t="s">
        <v>342</v>
      </c>
      <c r="C86" s="1035"/>
      <c r="D86" s="1036"/>
      <c r="E86" s="270" t="s">
        <v>114</v>
      </c>
      <c r="F86" s="299">
        <v>200</v>
      </c>
      <c r="G86" s="299">
        <v>230</v>
      </c>
      <c r="H86" s="299">
        <v>230</v>
      </c>
      <c r="I86" s="299">
        <v>250</v>
      </c>
      <c r="J86" s="298">
        <v>250</v>
      </c>
    </row>
    <row r="87" spans="1:10" ht="51" customHeight="1">
      <c r="A87" s="301" t="s">
        <v>115</v>
      </c>
      <c r="B87" s="1034" t="s">
        <v>113</v>
      </c>
      <c r="C87" s="1035"/>
      <c r="D87" s="1036"/>
      <c r="E87" s="258" t="s">
        <v>114</v>
      </c>
      <c r="F87" s="299">
        <v>2000</v>
      </c>
      <c r="G87" s="299">
        <v>2000</v>
      </c>
      <c r="H87" s="299">
        <v>2000</v>
      </c>
      <c r="I87" s="299">
        <v>2000</v>
      </c>
      <c r="J87" s="298">
        <v>2000</v>
      </c>
    </row>
    <row r="88" spans="1:10" ht="47.25" customHeight="1">
      <c r="A88" s="301" t="s">
        <v>341</v>
      </c>
      <c r="B88" s="1034" t="s">
        <v>113</v>
      </c>
      <c r="C88" s="1035"/>
      <c r="D88" s="1036"/>
      <c r="E88" s="258" t="s">
        <v>95</v>
      </c>
      <c r="F88" s="299">
        <v>15</v>
      </c>
      <c r="G88" s="299">
        <v>15</v>
      </c>
      <c r="H88" s="299">
        <v>15</v>
      </c>
      <c r="I88" s="299">
        <v>15</v>
      </c>
      <c r="J88" s="298">
        <v>15</v>
      </c>
    </row>
    <row r="89" spans="1:10" ht="47.25" customHeight="1">
      <c r="A89" s="300" t="s">
        <v>116</v>
      </c>
      <c r="B89" s="1008" t="s">
        <v>340</v>
      </c>
      <c r="C89" s="1009"/>
      <c r="D89" s="1010"/>
      <c r="E89" s="270" t="s">
        <v>117</v>
      </c>
      <c r="F89" s="299">
        <v>4</v>
      </c>
      <c r="G89" s="299">
        <v>4</v>
      </c>
      <c r="H89" s="299">
        <v>4</v>
      </c>
      <c r="I89" s="299">
        <v>4</v>
      </c>
      <c r="J89" s="298">
        <v>4</v>
      </c>
    </row>
    <row r="90" spans="1:10" ht="40.5" customHeight="1">
      <c r="A90" s="300" t="s">
        <v>339</v>
      </c>
      <c r="B90" s="1034" t="s">
        <v>333</v>
      </c>
      <c r="C90" s="1035" t="s">
        <v>338</v>
      </c>
      <c r="D90" s="1036" t="s">
        <v>337</v>
      </c>
      <c r="E90" s="270" t="s">
        <v>117</v>
      </c>
      <c r="F90" s="299">
        <v>4</v>
      </c>
      <c r="G90" s="299">
        <v>4</v>
      </c>
      <c r="H90" s="299">
        <v>4</v>
      </c>
      <c r="I90" s="299">
        <v>4</v>
      </c>
      <c r="J90" s="298">
        <v>4</v>
      </c>
    </row>
    <row r="91" spans="1:10" ht="36" customHeight="1">
      <c r="A91" s="300" t="s">
        <v>336</v>
      </c>
      <c r="B91" s="1034" t="s">
        <v>335</v>
      </c>
      <c r="C91" s="1035"/>
      <c r="D91" s="1036"/>
      <c r="E91" s="270" t="s">
        <v>114</v>
      </c>
      <c r="F91" s="299">
        <v>200</v>
      </c>
      <c r="G91" s="299">
        <v>230</v>
      </c>
      <c r="H91" s="299">
        <v>230</v>
      </c>
      <c r="I91" s="299">
        <v>230</v>
      </c>
      <c r="J91" s="298">
        <v>230</v>
      </c>
    </row>
    <row r="92" spans="1:10" ht="51" customHeight="1">
      <c r="A92" s="300" t="s">
        <v>334</v>
      </c>
      <c r="B92" s="1034" t="s">
        <v>333</v>
      </c>
      <c r="C92" s="1035"/>
      <c r="D92" s="1036"/>
      <c r="E92" s="270" t="s">
        <v>117</v>
      </c>
      <c r="F92" s="299">
        <v>4</v>
      </c>
      <c r="G92" s="299">
        <v>4</v>
      </c>
      <c r="H92" s="299">
        <v>4</v>
      </c>
      <c r="I92" s="299">
        <v>4</v>
      </c>
      <c r="J92" s="298">
        <v>4</v>
      </c>
    </row>
    <row r="95" spans="1:13" ht="20.25" customHeight="1">
      <c r="A95" s="991"/>
      <c r="B95" s="992"/>
      <c r="C95" s="992"/>
      <c r="D95" s="992"/>
      <c r="E95" s="992"/>
      <c r="F95" s="992"/>
      <c r="G95" s="992"/>
      <c r="H95" s="992"/>
      <c r="I95" s="992"/>
      <c r="J95" s="992"/>
      <c r="K95" s="992"/>
      <c r="L95" s="992"/>
      <c r="M95" s="992"/>
    </row>
    <row r="96" ht="1.5" customHeight="1" thickBot="1"/>
    <row r="97" spans="1:12" ht="24" customHeight="1" thickBot="1">
      <c r="A97" s="283" t="s">
        <v>303</v>
      </c>
      <c r="B97" s="993" t="s">
        <v>302</v>
      </c>
      <c r="C97" s="994"/>
      <c r="D97" s="994"/>
      <c r="E97" s="994"/>
      <c r="F97" s="994"/>
      <c r="G97" s="994"/>
      <c r="H97" s="994"/>
      <c r="I97" s="994"/>
      <c r="J97" s="994"/>
      <c r="K97" s="994"/>
      <c r="L97" s="994"/>
    </row>
    <row r="98" spans="1:12" ht="20.25" customHeight="1" thickBot="1">
      <c r="A98" s="278" t="s">
        <v>301</v>
      </c>
      <c r="B98" s="993" t="s">
        <v>320</v>
      </c>
      <c r="C98" s="994"/>
      <c r="D98" s="994"/>
      <c r="E98" s="994"/>
      <c r="F98" s="994"/>
      <c r="G98" s="994"/>
      <c r="H98" s="994"/>
      <c r="I98" s="994"/>
      <c r="J98" s="994"/>
      <c r="K98" s="994"/>
      <c r="L98" s="994"/>
    </row>
    <row r="99" spans="1:12" ht="20.25" customHeight="1" thickBot="1">
      <c r="A99" s="282" t="s">
        <v>299</v>
      </c>
      <c r="B99" s="993" t="s">
        <v>332</v>
      </c>
      <c r="C99" s="994"/>
      <c r="D99" s="994"/>
      <c r="E99" s="994"/>
      <c r="F99" s="994"/>
      <c r="G99" s="994"/>
      <c r="H99" s="994"/>
      <c r="I99" s="994"/>
      <c r="J99" s="994"/>
      <c r="K99" s="994"/>
      <c r="L99" s="994"/>
    </row>
    <row r="100" spans="1:12" ht="29.25" customHeight="1" thickBot="1">
      <c r="A100" s="281" t="s">
        <v>297</v>
      </c>
      <c r="B100" s="995" t="s">
        <v>325</v>
      </c>
      <c r="C100" s="995"/>
      <c r="D100" s="995"/>
      <c r="E100" s="995"/>
      <c r="F100" s="995"/>
      <c r="G100" s="995"/>
      <c r="H100" s="995"/>
      <c r="I100" s="995"/>
      <c r="J100" s="995"/>
      <c r="K100" s="995"/>
      <c r="L100" s="996"/>
    </row>
    <row r="101" spans="1:12" ht="32.25" customHeight="1" thickBot="1">
      <c r="A101" s="278" t="s">
        <v>295</v>
      </c>
      <c r="B101" s="280" t="s">
        <v>294</v>
      </c>
      <c r="C101" s="997" t="s">
        <v>293</v>
      </c>
      <c r="D101" s="993"/>
      <c r="E101" s="279"/>
      <c r="F101" s="997" t="s">
        <v>292</v>
      </c>
      <c r="G101" s="998"/>
      <c r="H101" s="998"/>
      <c r="I101" s="993"/>
      <c r="J101" s="998" t="s">
        <v>291</v>
      </c>
      <c r="K101" s="998"/>
      <c r="L101" s="998"/>
    </row>
    <row r="102" spans="1:12" ht="75.75" customHeight="1" thickBot="1">
      <c r="A102" s="278" t="s">
        <v>290</v>
      </c>
      <c r="B102" s="988" t="s">
        <v>331</v>
      </c>
      <c r="C102" s="989"/>
      <c r="D102" s="989"/>
      <c r="E102" s="989"/>
      <c r="F102" s="989"/>
      <c r="G102" s="989"/>
      <c r="H102" s="989"/>
      <c r="I102" s="989"/>
      <c r="J102" s="989"/>
      <c r="K102" s="989"/>
      <c r="L102" s="989"/>
    </row>
    <row r="103" spans="1:12" ht="32.25" customHeight="1" thickBot="1">
      <c r="A103" s="278" t="s">
        <v>288</v>
      </c>
      <c r="B103" s="1003" t="s">
        <v>330</v>
      </c>
      <c r="C103" s="994"/>
      <c r="D103" s="994"/>
      <c r="E103" s="994"/>
      <c r="F103" s="994"/>
      <c r="G103" s="994"/>
      <c r="H103" s="994"/>
      <c r="I103" s="994"/>
      <c r="J103" s="994"/>
      <c r="K103" s="994"/>
      <c r="L103" s="994"/>
    </row>
    <row r="104" ht="0.75" customHeight="1"/>
    <row r="105" ht="20.25" customHeight="1">
      <c r="A105" s="277" t="s">
        <v>286</v>
      </c>
    </row>
    <row r="106" spans="1:12" ht="18.75" customHeight="1">
      <c r="A106" s="265" t="s">
        <v>283</v>
      </c>
      <c r="L106" s="276" t="s">
        <v>285</v>
      </c>
    </row>
    <row r="107" spans="1:13" ht="27.75" customHeight="1">
      <c r="A107" s="999" t="s">
        <v>278</v>
      </c>
      <c r="B107" s="999" t="s">
        <v>262</v>
      </c>
      <c r="C107" s="999"/>
      <c r="D107" s="999"/>
      <c r="E107" s="394"/>
      <c r="F107" s="999" t="s">
        <v>261</v>
      </c>
      <c r="G107" s="999"/>
      <c r="H107" s="999"/>
      <c r="I107" s="999" t="s">
        <v>260</v>
      </c>
      <c r="J107" s="999"/>
      <c r="K107" s="999"/>
      <c r="L107" s="999"/>
      <c r="M107" s="273" t="s">
        <v>259</v>
      </c>
    </row>
    <row r="108" spans="1:13" ht="13.5" customHeight="1">
      <c r="A108" s="999"/>
      <c r="B108" s="999" t="s">
        <v>258</v>
      </c>
      <c r="C108" s="999" t="s">
        <v>256</v>
      </c>
      <c r="D108" s="999"/>
      <c r="E108" s="999"/>
      <c r="F108" s="999" t="s">
        <v>257</v>
      </c>
      <c r="G108" s="999" t="s">
        <v>256</v>
      </c>
      <c r="H108" s="1038"/>
      <c r="I108" s="999" t="s">
        <v>257</v>
      </c>
      <c r="J108" s="999" t="s">
        <v>256</v>
      </c>
      <c r="K108" s="999"/>
      <c r="L108" s="999"/>
      <c r="M108" s="273"/>
    </row>
    <row r="109" spans="1:13" ht="94.5">
      <c r="A109" s="999"/>
      <c r="B109" s="1037"/>
      <c r="C109" s="394" t="s">
        <v>252</v>
      </c>
      <c r="D109" s="394" t="s">
        <v>277</v>
      </c>
      <c r="E109" s="394" t="s">
        <v>276</v>
      </c>
      <c r="F109" s="999"/>
      <c r="G109" s="394" t="s">
        <v>275</v>
      </c>
      <c r="H109" s="394" t="s">
        <v>253</v>
      </c>
      <c r="I109" s="999"/>
      <c r="J109" s="394" t="s">
        <v>252</v>
      </c>
      <c r="K109" s="394" t="s">
        <v>251</v>
      </c>
      <c r="L109" s="394" t="s">
        <v>274</v>
      </c>
      <c r="M109" s="267"/>
    </row>
    <row r="110" spans="1:13" ht="15.75">
      <c r="A110" s="394" t="s">
        <v>19</v>
      </c>
      <c r="B110" s="269">
        <f>C110+D110+E110</f>
        <v>102833.9</v>
      </c>
      <c r="C110" s="268">
        <f>'прил 4-1'!G27</f>
        <v>36848.4</v>
      </c>
      <c r="D110" s="268">
        <f>'прил 4-1'!H27</f>
        <v>65985.5</v>
      </c>
      <c r="E110" s="268"/>
      <c r="F110" s="268"/>
      <c r="G110" s="268"/>
      <c r="H110" s="268"/>
      <c r="I110" s="269">
        <f>J110+K110+L110</f>
        <v>73807.20000000001</v>
      </c>
      <c r="J110" s="268">
        <f>'прил 4-2'!G26</f>
        <v>32183.4</v>
      </c>
      <c r="K110" s="268">
        <f>'прил 4-2'!H26</f>
        <v>39653.8</v>
      </c>
      <c r="L110" s="408">
        <f>'прил 4-2'!N26</f>
        <v>1970</v>
      </c>
      <c r="M110" s="266">
        <f>B110+F110+I110</f>
        <v>176641.1</v>
      </c>
    </row>
    <row r="111" spans="1:13" ht="15.75">
      <c r="A111" s="394" t="s">
        <v>20</v>
      </c>
      <c r="B111" s="269">
        <f>C111+D111+E111</f>
        <v>102833.9</v>
      </c>
      <c r="C111" s="268">
        <f>C110</f>
        <v>36848.4</v>
      </c>
      <c r="D111" s="268">
        <f>D110</f>
        <v>65985.5</v>
      </c>
      <c r="E111" s="268"/>
      <c r="F111" s="268"/>
      <c r="G111" s="268"/>
      <c r="H111" s="268"/>
      <c r="I111" s="269">
        <f>J111+K111+L111</f>
        <v>73807.20000000001</v>
      </c>
      <c r="J111" s="268">
        <f>J110</f>
        <v>32183.4</v>
      </c>
      <c r="K111" s="268">
        <f>K110</f>
        <v>39653.8</v>
      </c>
      <c r="L111" s="268">
        <f>L110</f>
        <v>1970</v>
      </c>
      <c r="M111" s="266">
        <f>B111+F111+I111</f>
        <v>176641.1</v>
      </c>
    </row>
    <row r="112" spans="1:13" ht="16.5" customHeight="1">
      <c r="A112" s="398" t="s">
        <v>20</v>
      </c>
      <c r="B112" s="269">
        <f>C112+D112+E112</f>
        <v>102833.9</v>
      </c>
      <c r="C112" s="268">
        <f>C111</f>
        <v>36848.4</v>
      </c>
      <c r="D112" s="268">
        <f>D111</f>
        <v>65985.5</v>
      </c>
      <c r="E112" s="394"/>
      <c r="F112" s="394"/>
      <c r="G112" s="394"/>
      <c r="H112" s="394"/>
      <c r="I112" s="269">
        <f>J112+K112+L112</f>
        <v>73807.20000000001</v>
      </c>
      <c r="J112" s="268">
        <f>J111</f>
        <v>32183.4</v>
      </c>
      <c r="K112" s="268">
        <f>K111</f>
        <v>39653.8</v>
      </c>
      <c r="L112" s="268">
        <f>L111</f>
        <v>1970</v>
      </c>
      <c r="M112" s="266">
        <f>B112+F112+I112</f>
        <v>176641.1</v>
      </c>
    </row>
    <row r="113" spans="1:13" ht="16.5" customHeight="1">
      <c r="A113" s="400"/>
      <c r="B113" s="395"/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400"/>
    </row>
    <row r="114" ht="15.75">
      <c r="A114" s="265" t="s">
        <v>284</v>
      </c>
    </row>
    <row r="115" spans="1:4" ht="22.5" customHeight="1" thickBot="1">
      <c r="A115" s="265" t="s">
        <v>283</v>
      </c>
      <c r="B115" s="264"/>
      <c r="C115" s="264"/>
      <c r="D115" s="264"/>
    </row>
    <row r="116" spans="1:10" ht="32.25" thickBot="1">
      <c r="A116" s="1005" t="s">
        <v>282</v>
      </c>
      <c r="B116" s="1020" t="s">
        <v>281</v>
      </c>
      <c r="C116" s="1021"/>
      <c r="D116" s="1022"/>
      <c r="E116" s="1005" t="s">
        <v>69</v>
      </c>
      <c r="F116" s="262" t="s">
        <v>14</v>
      </c>
      <c r="G116" s="1026" t="s">
        <v>15</v>
      </c>
      <c r="H116" s="1027"/>
      <c r="I116" s="1027"/>
      <c r="J116" s="1028"/>
    </row>
    <row r="117" spans="1:10" ht="16.5" thickBot="1">
      <c r="A117" s="1007"/>
      <c r="B117" s="1023"/>
      <c r="C117" s="1024"/>
      <c r="D117" s="1025"/>
      <c r="E117" s="1007"/>
      <c r="F117" s="260" t="s">
        <v>17</v>
      </c>
      <c r="G117" s="260" t="s">
        <v>18</v>
      </c>
      <c r="H117" s="260" t="s">
        <v>19</v>
      </c>
      <c r="I117" s="260" t="s">
        <v>20</v>
      </c>
      <c r="J117" s="260" t="s">
        <v>21</v>
      </c>
    </row>
    <row r="118" spans="1:10" ht="15.75">
      <c r="A118" s="297"/>
      <c r="B118" s="1039"/>
      <c r="C118" s="1039"/>
      <c r="D118" s="1039"/>
      <c r="E118" s="296"/>
      <c r="F118" s="295"/>
      <c r="G118" s="295"/>
      <c r="H118" s="295"/>
      <c r="I118" s="295"/>
      <c r="J118" s="294"/>
    </row>
    <row r="119" spans="1:10" ht="94.5">
      <c r="A119" s="293" t="s">
        <v>124</v>
      </c>
      <c r="B119" s="1040" t="s">
        <v>329</v>
      </c>
      <c r="C119" s="1040"/>
      <c r="D119" s="1040"/>
      <c r="E119" s="292" t="s">
        <v>38</v>
      </c>
      <c r="F119" s="291">
        <v>77.3</v>
      </c>
      <c r="G119" s="291">
        <v>85</v>
      </c>
      <c r="H119" s="291">
        <v>85</v>
      </c>
      <c r="I119" s="291">
        <v>85</v>
      </c>
      <c r="J119" s="287">
        <v>85</v>
      </c>
    </row>
    <row r="120" spans="1:10" ht="63">
      <c r="A120" s="290" t="s">
        <v>328</v>
      </c>
      <c r="B120" s="1051" t="s">
        <v>327</v>
      </c>
      <c r="C120" s="1051"/>
      <c r="D120" s="1051"/>
      <c r="E120" s="289" t="s">
        <v>38</v>
      </c>
      <c r="F120" s="288">
        <v>58.3</v>
      </c>
      <c r="G120" s="288">
        <v>67</v>
      </c>
      <c r="H120" s="288">
        <v>75</v>
      </c>
      <c r="I120" s="409">
        <v>90</v>
      </c>
      <c r="J120" s="410">
        <v>90</v>
      </c>
    </row>
    <row r="122" spans="1:13" ht="16.5" thickBot="1">
      <c r="A122" s="991" t="s">
        <v>315</v>
      </c>
      <c r="B122" s="991"/>
      <c r="C122" s="991"/>
      <c r="D122" s="991"/>
      <c r="E122" s="991"/>
      <c r="F122" s="991"/>
      <c r="G122" s="991"/>
      <c r="H122" s="991"/>
      <c r="I122" s="991"/>
      <c r="J122" s="991"/>
      <c r="K122" s="991"/>
      <c r="L122" s="991"/>
      <c r="M122" s="286"/>
    </row>
    <row r="123" spans="1:12" ht="24" customHeight="1" thickBot="1">
      <c r="A123" s="283" t="s">
        <v>303</v>
      </c>
      <c r="B123" s="993" t="s">
        <v>302</v>
      </c>
      <c r="C123" s="994"/>
      <c r="D123" s="994"/>
      <c r="E123" s="994"/>
      <c r="F123" s="994"/>
      <c r="G123" s="994"/>
      <c r="H123" s="994"/>
      <c r="I123" s="994"/>
      <c r="J123" s="994"/>
      <c r="K123" s="994"/>
      <c r="L123" s="994"/>
    </row>
    <row r="124" spans="1:12" ht="20.25" customHeight="1" thickBot="1">
      <c r="A124" s="278" t="s">
        <v>301</v>
      </c>
      <c r="B124" s="993" t="s">
        <v>320</v>
      </c>
      <c r="C124" s="994"/>
      <c r="D124" s="994"/>
      <c r="E124" s="994"/>
      <c r="F124" s="994"/>
      <c r="G124" s="994"/>
      <c r="H124" s="994"/>
      <c r="I124" s="994"/>
      <c r="J124" s="994"/>
      <c r="K124" s="994"/>
      <c r="L124" s="994"/>
    </row>
    <row r="125" spans="1:12" ht="29.25" customHeight="1" thickBot="1">
      <c r="A125" s="282" t="s">
        <v>299</v>
      </c>
      <c r="B125" s="993" t="s">
        <v>326</v>
      </c>
      <c r="C125" s="994"/>
      <c r="D125" s="994"/>
      <c r="E125" s="994"/>
      <c r="F125" s="994"/>
      <c r="G125" s="994"/>
      <c r="H125" s="994"/>
      <c r="I125" s="994"/>
      <c r="J125" s="994"/>
      <c r="K125" s="994"/>
      <c r="L125" s="994"/>
    </row>
    <row r="126" spans="1:12" ht="29.25" customHeight="1" thickBot="1">
      <c r="A126" s="281" t="s">
        <v>297</v>
      </c>
      <c r="B126" s="995" t="s">
        <v>325</v>
      </c>
      <c r="C126" s="995"/>
      <c r="D126" s="995"/>
      <c r="E126" s="995"/>
      <c r="F126" s="995"/>
      <c r="G126" s="995"/>
      <c r="H126" s="995"/>
      <c r="I126" s="995"/>
      <c r="J126" s="995"/>
      <c r="K126" s="995"/>
      <c r="L126" s="996"/>
    </row>
    <row r="127" spans="1:12" ht="32.25" customHeight="1" thickBot="1">
      <c r="A127" s="278" t="s">
        <v>295</v>
      </c>
      <c r="B127" s="280"/>
      <c r="C127" s="997" t="s">
        <v>293</v>
      </c>
      <c r="D127" s="993"/>
      <c r="E127" s="280" t="s">
        <v>294</v>
      </c>
      <c r="F127" s="997" t="s">
        <v>292</v>
      </c>
      <c r="G127" s="998"/>
      <c r="H127" s="998"/>
      <c r="I127" s="993"/>
      <c r="J127" s="998" t="s">
        <v>291</v>
      </c>
      <c r="K127" s="998"/>
      <c r="L127" s="998"/>
    </row>
    <row r="128" spans="1:12" ht="231.75" customHeight="1" thickBot="1">
      <c r="A128" s="278" t="s">
        <v>290</v>
      </c>
      <c r="B128" s="1052" t="s">
        <v>324</v>
      </c>
      <c r="C128" s="1053"/>
      <c r="D128" s="1053"/>
      <c r="E128" s="1053"/>
      <c r="F128" s="1053"/>
      <c r="G128" s="1053"/>
      <c r="H128" s="1053"/>
      <c r="I128" s="1053"/>
      <c r="J128" s="1053"/>
      <c r="K128" s="1053"/>
      <c r="L128" s="1053"/>
    </row>
    <row r="129" spans="1:12" ht="47.25" customHeight="1" thickBot="1">
      <c r="A129" s="278" t="s">
        <v>288</v>
      </c>
      <c r="B129" s="1054" t="s">
        <v>323</v>
      </c>
      <c r="C129" s="1055"/>
      <c r="D129" s="1055"/>
      <c r="E129" s="1055"/>
      <c r="F129" s="1055"/>
      <c r="G129" s="1055"/>
      <c r="H129" s="1055"/>
      <c r="I129" s="1055"/>
      <c r="J129" s="1055"/>
      <c r="K129" s="1055"/>
      <c r="L129" s="1055"/>
    </row>
    <row r="130" ht="0.75" customHeight="1"/>
    <row r="131" ht="20.25" customHeight="1">
      <c r="A131" s="277" t="s">
        <v>286</v>
      </c>
    </row>
    <row r="132" spans="1:12" ht="18.75" customHeight="1">
      <c r="A132" s="265" t="s">
        <v>283</v>
      </c>
      <c r="L132" s="276" t="s">
        <v>285</v>
      </c>
    </row>
    <row r="133" spans="1:13" ht="27.75" customHeight="1">
      <c r="A133" s="999" t="s">
        <v>278</v>
      </c>
      <c r="B133" s="999" t="s">
        <v>262</v>
      </c>
      <c r="C133" s="999"/>
      <c r="D133" s="999"/>
      <c r="E133" s="394"/>
      <c r="F133" s="999" t="s">
        <v>261</v>
      </c>
      <c r="G133" s="999"/>
      <c r="H133" s="999"/>
      <c r="I133" s="999" t="s">
        <v>260</v>
      </c>
      <c r="J133" s="999"/>
      <c r="K133" s="999"/>
      <c r="L133" s="999"/>
      <c r="M133" s="273" t="s">
        <v>259</v>
      </c>
    </row>
    <row r="134" spans="1:13" ht="13.5" customHeight="1">
      <c r="A134" s="999"/>
      <c r="B134" s="999" t="s">
        <v>258</v>
      </c>
      <c r="C134" s="999" t="s">
        <v>256</v>
      </c>
      <c r="D134" s="999"/>
      <c r="E134" s="999"/>
      <c r="F134" s="999" t="s">
        <v>257</v>
      </c>
      <c r="G134" s="999" t="s">
        <v>256</v>
      </c>
      <c r="H134" s="1038"/>
      <c r="I134" s="999" t="s">
        <v>257</v>
      </c>
      <c r="J134" s="999" t="s">
        <v>256</v>
      </c>
      <c r="K134" s="999"/>
      <c r="L134" s="999"/>
      <c r="M134" s="273"/>
    </row>
    <row r="135" spans="1:13" ht="94.5">
      <c r="A135" s="999"/>
      <c r="B135" s="1037"/>
      <c r="C135" s="394" t="s">
        <v>252</v>
      </c>
      <c r="D135" s="394" t="s">
        <v>277</v>
      </c>
      <c r="E135" s="394" t="s">
        <v>276</v>
      </c>
      <c r="F135" s="999"/>
      <c r="G135" s="394" t="s">
        <v>275</v>
      </c>
      <c r="H135" s="394" t="s">
        <v>253</v>
      </c>
      <c r="I135" s="999"/>
      <c r="J135" s="394" t="s">
        <v>252</v>
      </c>
      <c r="K135" s="394" t="s">
        <v>251</v>
      </c>
      <c r="L135" s="394" t="s">
        <v>274</v>
      </c>
      <c r="M135" s="267"/>
    </row>
    <row r="136" spans="1:15" ht="15.75">
      <c r="A136" s="394" t="s">
        <v>19</v>
      </c>
      <c r="B136" s="269">
        <f>C136+D136+E136</f>
        <v>3000</v>
      </c>
      <c r="C136" s="268"/>
      <c r="D136" s="268">
        <v>3000</v>
      </c>
      <c r="E136" s="268"/>
      <c r="F136" s="268"/>
      <c r="G136" s="268"/>
      <c r="H136" s="268"/>
      <c r="I136" s="269">
        <f>J136+K136+L136</f>
        <v>0</v>
      </c>
      <c r="J136" s="268"/>
      <c r="K136" s="268"/>
      <c r="L136" s="268"/>
      <c r="M136" s="266">
        <f>B136+F136+I136</f>
        <v>3000</v>
      </c>
      <c r="O136" s="257"/>
    </row>
    <row r="137" spans="1:15" ht="15.75">
      <c r="A137" s="394" t="s">
        <v>20</v>
      </c>
      <c r="B137" s="269">
        <f>C137+D137+E137</f>
        <v>3000</v>
      </c>
      <c r="C137" s="268"/>
      <c r="D137" s="268">
        <v>3000</v>
      </c>
      <c r="E137" s="268"/>
      <c r="F137" s="268"/>
      <c r="G137" s="268"/>
      <c r="H137" s="268"/>
      <c r="I137" s="269">
        <f>J137+K137+L137</f>
        <v>0</v>
      </c>
      <c r="J137" s="268"/>
      <c r="K137" s="268"/>
      <c r="L137" s="268"/>
      <c r="M137" s="266">
        <f>B137+F137+I137</f>
        <v>3000</v>
      </c>
      <c r="O137" s="257"/>
    </row>
    <row r="138" spans="1:15" ht="15.75" customHeight="1">
      <c r="A138" s="399" t="s">
        <v>21</v>
      </c>
      <c r="B138" s="269">
        <f>C138+D138+E138</f>
        <v>3000</v>
      </c>
      <c r="C138" s="394"/>
      <c r="D138" s="268">
        <v>3000</v>
      </c>
      <c r="E138" s="394"/>
      <c r="F138" s="394"/>
      <c r="G138" s="394"/>
      <c r="H138" s="394"/>
      <c r="I138" s="269">
        <f>J138+K138+L138</f>
        <v>0</v>
      </c>
      <c r="J138" s="394"/>
      <c r="K138" s="394"/>
      <c r="L138" s="394"/>
      <c r="M138" s="266">
        <f>B138+F138+I138</f>
        <v>3000</v>
      </c>
      <c r="O138" s="257"/>
    </row>
    <row r="139" spans="1:15" ht="15.75" customHeight="1">
      <c r="A139" s="400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400"/>
      <c r="O139" s="257"/>
    </row>
    <row r="140" ht="15.75">
      <c r="A140" s="265" t="s">
        <v>284</v>
      </c>
    </row>
    <row r="141" spans="1:4" ht="22.5" customHeight="1" thickBot="1">
      <c r="A141" s="265" t="s">
        <v>283</v>
      </c>
      <c r="B141" s="264"/>
      <c r="C141" s="264"/>
      <c r="D141" s="264"/>
    </row>
    <row r="142" spans="1:10" ht="32.25" thickBot="1">
      <c r="A142" s="1005" t="s">
        <v>282</v>
      </c>
      <c r="B142" s="1020" t="s">
        <v>281</v>
      </c>
      <c r="C142" s="1021"/>
      <c r="D142" s="1022"/>
      <c r="E142" s="1005" t="s">
        <v>69</v>
      </c>
      <c r="F142" s="262" t="s">
        <v>14</v>
      </c>
      <c r="G142" s="1026" t="s">
        <v>15</v>
      </c>
      <c r="H142" s="1027"/>
      <c r="I142" s="1027"/>
      <c r="J142" s="1028"/>
    </row>
    <row r="143" spans="1:10" ht="16.5" thickBot="1">
      <c r="A143" s="1007"/>
      <c r="B143" s="1023"/>
      <c r="C143" s="1024"/>
      <c r="D143" s="1025"/>
      <c r="E143" s="1007"/>
      <c r="F143" s="260" t="s">
        <v>17</v>
      </c>
      <c r="G143" s="260" t="s">
        <v>18</v>
      </c>
      <c r="H143" s="260" t="s">
        <v>19</v>
      </c>
      <c r="I143" s="260" t="s">
        <v>20</v>
      </c>
      <c r="J143" s="260" t="s">
        <v>21</v>
      </c>
    </row>
    <row r="144" spans="1:10" ht="111" thickBot="1">
      <c r="A144" s="285" t="s">
        <v>129</v>
      </c>
      <c r="B144" s="1044" t="s">
        <v>322</v>
      </c>
      <c r="C144" s="1044"/>
      <c r="D144" s="1044"/>
      <c r="E144" s="284" t="s">
        <v>130</v>
      </c>
      <c r="F144" s="411" t="s">
        <v>131</v>
      </c>
      <c r="G144" s="412" t="s">
        <v>131</v>
      </c>
      <c r="H144" s="412" t="s">
        <v>132</v>
      </c>
      <c r="I144" s="412" t="s">
        <v>133</v>
      </c>
      <c r="J144" s="413" t="s">
        <v>133</v>
      </c>
    </row>
    <row r="147" ht="1.5" customHeight="1" thickBot="1"/>
    <row r="148" spans="1:12" ht="24" customHeight="1" thickBot="1">
      <c r="A148" s="283" t="s">
        <v>303</v>
      </c>
      <c r="B148" s="993" t="s">
        <v>302</v>
      </c>
      <c r="C148" s="994"/>
      <c r="D148" s="994"/>
      <c r="E148" s="994"/>
      <c r="F148" s="994"/>
      <c r="G148" s="994"/>
      <c r="H148" s="994"/>
      <c r="I148" s="994"/>
      <c r="J148" s="994"/>
      <c r="K148" s="994"/>
      <c r="L148" s="994"/>
    </row>
    <row r="149" spans="1:12" ht="20.25" customHeight="1" thickBot="1">
      <c r="A149" s="278" t="s">
        <v>301</v>
      </c>
      <c r="B149" s="993" t="s">
        <v>320</v>
      </c>
      <c r="C149" s="994"/>
      <c r="D149" s="994"/>
      <c r="E149" s="994"/>
      <c r="F149" s="994"/>
      <c r="G149" s="994"/>
      <c r="H149" s="994"/>
      <c r="I149" s="994"/>
      <c r="J149" s="994"/>
      <c r="K149" s="994"/>
      <c r="L149" s="994"/>
    </row>
    <row r="150" spans="1:12" ht="31.5" customHeight="1" thickBot="1">
      <c r="A150" s="282" t="s">
        <v>299</v>
      </c>
      <c r="B150" s="993" t="s">
        <v>526</v>
      </c>
      <c r="C150" s="994"/>
      <c r="D150" s="994"/>
      <c r="E150" s="994"/>
      <c r="F150" s="994"/>
      <c r="G150" s="994"/>
      <c r="H150" s="994"/>
      <c r="I150" s="994"/>
      <c r="J150" s="994"/>
      <c r="K150" s="994"/>
      <c r="L150" s="994"/>
    </row>
    <row r="151" spans="1:12" ht="29.25" customHeight="1" thickBot="1">
      <c r="A151" s="281" t="s">
        <v>297</v>
      </c>
      <c r="B151" s="995" t="s">
        <v>136</v>
      </c>
      <c r="C151" s="995"/>
      <c r="D151" s="995"/>
      <c r="E151" s="995"/>
      <c r="F151" s="995"/>
      <c r="G151" s="995"/>
      <c r="H151" s="995"/>
      <c r="I151" s="995"/>
      <c r="J151" s="995"/>
      <c r="K151" s="995"/>
      <c r="L151" s="996"/>
    </row>
    <row r="152" spans="1:12" ht="32.25" customHeight="1" thickBot="1">
      <c r="A152" s="278" t="s">
        <v>295</v>
      </c>
      <c r="B152" s="280" t="s">
        <v>294</v>
      </c>
      <c r="C152" s="997" t="s">
        <v>293</v>
      </c>
      <c r="D152" s="993"/>
      <c r="E152" s="279"/>
      <c r="F152" s="997" t="s">
        <v>292</v>
      </c>
      <c r="G152" s="998"/>
      <c r="H152" s="998"/>
      <c r="I152" s="993"/>
      <c r="J152" s="998" t="s">
        <v>291</v>
      </c>
      <c r="K152" s="998"/>
      <c r="L152" s="998"/>
    </row>
    <row r="153" spans="1:12" ht="64.5" customHeight="1" thickBot="1">
      <c r="A153" s="278" t="s">
        <v>290</v>
      </c>
      <c r="B153" s="988" t="s">
        <v>321</v>
      </c>
      <c r="C153" s="989"/>
      <c r="D153" s="989"/>
      <c r="E153" s="989"/>
      <c r="F153" s="989"/>
      <c r="G153" s="989"/>
      <c r="H153" s="989"/>
      <c r="I153" s="989"/>
      <c r="J153" s="989"/>
      <c r="K153" s="989"/>
      <c r="L153" s="989"/>
    </row>
    <row r="154" spans="1:12" ht="32.25" customHeight="1" thickBot="1">
      <c r="A154" s="278" t="s">
        <v>288</v>
      </c>
      <c r="B154" s="1003" t="s">
        <v>317</v>
      </c>
      <c r="C154" s="994"/>
      <c r="D154" s="994"/>
      <c r="E154" s="994"/>
      <c r="F154" s="994"/>
      <c r="G154" s="994"/>
      <c r="H154" s="994"/>
      <c r="I154" s="994"/>
      <c r="J154" s="994"/>
      <c r="K154" s="994"/>
      <c r="L154" s="994"/>
    </row>
    <row r="155" ht="0.75" customHeight="1"/>
    <row r="156" ht="20.25" customHeight="1">
      <c r="A156" s="277" t="s">
        <v>286</v>
      </c>
    </row>
    <row r="157" spans="1:12" ht="18.75" customHeight="1">
      <c r="A157" s="265" t="s">
        <v>283</v>
      </c>
      <c r="B157" s="256" t="s">
        <v>135</v>
      </c>
      <c r="L157" s="276" t="s">
        <v>285</v>
      </c>
    </row>
    <row r="158" spans="1:13" ht="27.75" customHeight="1">
      <c r="A158" s="999" t="s">
        <v>278</v>
      </c>
      <c r="B158" s="999" t="s">
        <v>262</v>
      </c>
      <c r="C158" s="999"/>
      <c r="D158" s="999"/>
      <c r="E158" s="394"/>
      <c r="F158" s="999" t="s">
        <v>261</v>
      </c>
      <c r="G158" s="999"/>
      <c r="H158" s="999"/>
      <c r="I158" s="999" t="s">
        <v>260</v>
      </c>
      <c r="J158" s="999"/>
      <c r="K158" s="999"/>
      <c r="L158" s="999"/>
      <c r="M158" s="273" t="s">
        <v>259</v>
      </c>
    </row>
    <row r="159" spans="1:13" ht="13.5" customHeight="1">
      <c r="A159" s="999"/>
      <c r="B159" s="999" t="s">
        <v>258</v>
      </c>
      <c r="C159" s="999" t="s">
        <v>256</v>
      </c>
      <c r="D159" s="999"/>
      <c r="E159" s="999"/>
      <c r="F159" s="999" t="s">
        <v>257</v>
      </c>
      <c r="G159" s="999" t="s">
        <v>256</v>
      </c>
      <c r="H159" s="1038"/>
      <c r="I159" s="999" t="s">
        <v>257</v>
      </c>
      <c r="J159" s="999" t="s">
        <v>256</v>
      </c>
      <c r="K159" s="999"/>
      <c r="L159" s="999"/>
      <c r="M159" s="273"/>
    </row>
    <row r="160" spans="1:13" ht="94.5">
      <c r="A160" s="999"/>
      <c r="B160" s="1037"/>
      <c r="C160" s="394" t="s">
        <v>252</v>
      </c>
      <c r="D160" s="394" t="s">
        <v>277</v>
      </c>
      <c r="E160" s="394" t="s">
        <v>276</v>
      </c>
      <c r="F160" s="999"/>
      <c r="G160" s="394" t="s">
        <v>275</v>
      </c>
      <c r="H160" s="394" t="s">
        <v>253</v>
      </c>
      <c r="I160" s="999"/>
      <c r="J160" s="394" t="s">
        <v>252</v>
      </c>
      <c r="K160" s="394" t="s">
        <v>251</v>
      </c>
      <c r="L160" s="394" t="s">
        <v>274</v>
      </c>
      <c r="M160" s="267"/>
    </row>
    <row r="161" spans="1:13" ht="15.75">
      <c r="A161" s="394" t="s">
        <v>19</v>
      </c>
      <c r="B161" s="269">
        <f>C161+D161+E161</f>
        <v>58604.7</v>
      </c>
      <c r="C161" s="268">
        <f>'прил 4-1'!G29</f>
        <v>34567.7</v>
      </c>
      <c r="D161" s="268">
        <f>'прил 4-1'!H29</f>
        <v>19808.7</v>
      </c>
      <c r="E161" s="268">
        <f>'прил 4-1'!N29</f>
        <v>4228.3</v>
      </c>
      <c r="F161" s="268"/>
      <c r="G161" s="268"/>
      <c r="H161" s="268"/>
      <c r="I161" s="269">
        <f>J161+K161+L161</f>
        <v>2863.1</v>
      </c>
      <c r="J161" s="268">
        <f>'прил 4-2'!G28</f>
        <v>545.1</v>
      </c>
      <c r="K161" s="268">
        <f>'прил 4-2'!H28</f>
        <v>2318</v>
      </c>
      <c r="L161" s="268"/>
      <c r="M161" s="266">
        <f>B161+F161+I161</f>
        <v>61467.799999999996</v>
      </c>
    </row>
    <row r="162" spans="1:13" ht="15.75">
      <c r="A162" s="394" t="s">
        <v>20</v>
      </c>
      <c r="B162" s="269">
        <f>C162+D162+E162</f>
        <v>58604.7</v>
      </c>
      <c r="C162" s="268">
        <f>C161</f>
        <v>34567.7</v>
      </c>
      <c r="D162" s="268">
        <f>D161</f>
        <v>19808.7</v>
      </c>
      <c r="E162" s="268">
        <f>E161</f>
        <v>4228.3</v>
      </c>
      <c r="F162" s="268"/>
      <c r="G162" s="268"/>
      <c r="H162" s="268"/>
      <c r="I162" s="269">
        <f>J162+K162+L162</f>
        <v>2863.1</v>
      </c>
      <c r="J162" s="268">
        <f>J161</f>
        <v>545.1</v>
      </c>
      <c r="K162" s="268">
        <f>K161</f>
        <v>2318</v>
      </c>
      <c r="L162" s="268"/>
      <c r="M162" s="266">
        <f>B162+F162+I162</f>
        <v>61467.799999999996</v>
      </c>
    </row>
    <row r="163" spans="1:13" ht="16.5" customHeight="1">
      <c r="A163" s="399" t="s">
        <v>21</v>
      </c>
      <c r="B163" s="269">
        <f>C163+D163+E163</f>
        <v>58604.7</v>
      </c>
      <c r="C163" s="268">
        <f>C162</f>
        <v>34567.7</v>
      </c>
      <c r="D163" s="268">
        <f>D162</f>
        <v>19808.7</v>
      </c>
      <c r="E163" s="268">
        <f>E162</f>
        <v>4228.3</v>
      </c>
      <c r="F163" s="394"/>
      <c r="G163" s="394"/>
      <c r="H163" s="394"/>
      <c r="I163" s="269">
        <f>J163+K163+L163</f>
        <v>2863.1</v>
      </c>
      <c r="J163" s="268">
        <f>J162</f>
        <v>545.1</v>
      </c>
      <c r="K163" s="268">
        <f>K162</f>
        <v>2318</v>
      </c>
      <c r="L163" s="394"/>
      <c r="M163" s="266">
        <f>B163+F163+I163</f>
        <v>61467.799999999996</v>
      </c>
    </row>
    <row r="164" spans="1:13" ht="16.5" customHeight="1">
      <c r="A164" s="400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5"/>
      <c r="M164" s="400"/>
    </row>
    <row r="165" ht="15.75">
      <c r="A165" s="265" t="s">
        <v>284</v>
      </c>
    </row>
    <row r="166" spans="1:4" ht="22.5" customHeight="1" thickBot="1">
      <c r="A166" s="265" t="s">
        <v>283</v>
      </c>
      <c r="B166" s="264" t="s">
        <v>135</v>
      </c>
      <c r="C166" s="264"/>
      <c r="D166" s="264"/>
    </row>
    <row r="167" spans="1:10" ht="32.25" thickBot="1">
      <c r="A167" s="1005" t="s">
        <v>282</v>
      </c>
      <c r="B167" s="1020" t="s">
        <v>281</v>
      </c>
      <c r="C167" s="1021"/>
      <c r="D167" s="1022"/>
      <c r="E167" s="1005" t="s">
        <v>69</v>
      </c>
      <c r="F167" s="262" t="s">
        <v>14</v>
      </c>
      <c r="G167" s="1026" t="s">
        <v>15</v>
      </c>
      <c r="H167" s="1027"/>
      <c r="I167" s="1027"/>
      <c r="J167" s="1028"/>
    </row>
    <row r="168" spans="1:10" ht="16.5" thickBot="1">
      <c r="A168" s="1007"/>
      <c r="B168" s="1023"/>
      <c r="C168" s="1024"/>
      <c r="D168" s="1025"/>
      <c r="E168" s="1007"/>
      <c r="F168" s="260" t="s">
        <v>17</v>
      </c>
      <c r="G168" s="260" t="s">
        <v>18</v>
      </c>
      <c r="H168" s="260" t="s">
        <v>19</v>
      </c>
      <c r="I168" s="260" t="s">
        <v>20</v>
      </c>
      <c r="J168" s="260" t="s">
        <v>21</v>
      </c>
    </row>
    <row r="169" spans="1:10" ht="67.5" customHeight="1">
      <c r="A169" s="228" t="s">
        <v>137</v>
      </c>
      <c r="B169" s="1048" t="s">
        <v>505</v>
      </c>
      <c r="C169" s="1049"/>
      <c r="D169" s="1050"/>
      <c r="E169" s="258" t="s">
        <v>152</v>
      </c>
      <c r="F169" s="258">
        <v>9</v>
      </c>
      <c r="G169" s="259">
        <v>10</v>
      </c>
      <c r="H169" s="258">
        <v>10</v>
      </c>
      <c r="I169" s="258">
        <v>11</v>
      </c>
      <c r="J169" s="258">
        <v>11</v>
      </c>
    </row>
    <row r="172" spans="1:13" ht="20.25" customHeight="1">
      <c r="A172" s="991" t="s">
        <v>315</v>
      </c>
      <c r="B172" s="992"/>
      <c r="C172" s="992"/>
      <c r="D172" s="992"/>
      <c r="E172" s="992"/>
      <c r="F172" s="992"/>
      <c r="G172" s="992"/>
      <c r="H172" s="992"/>
      <c r="I172" s="992"/>
      <c r="J172" s="992"/>
      <c r="K172" s="992"/>
      <c r="L172" s="992"/>
      <c r="M172" s="992"/>
    </row>
    <row r="173" ht="1.5" customHeight="1" thickBot="1"/>
    <row r="174" spans="1:12" ht="24" customHeight="1" thickBot="1">
      <c r="A174" s="283" t="s">
        <v>303</v>
      </c>
      <c r="B174" s="993" t="s">
        <v>302</v>
      </c>
      <c r="C174" s="994"/>
      <c r="D174" s="994"/>
      <c r="E174" s="994"/>
      <c r="F174" s="994"/>
      <c r="G174" s="994"/>
      <c r="H174" s="994"/>
      <c r="I174" s="994"/>
      <c r="J174" s="994"/>
      <c r="K174" s="994"/>
      <c r="L174" s="994"/>
    </row>
    <row r="175" spans="1:12" ht="20.25" customHeight="1" thickBot="1">
      <c r="A175" s="278" t="s">
        <v>301</v>
      </c>
      <c r="B175" s="993" t="s">
        <v>320</v>
      </c>
      <c r="C175" s="994"/>
      <c r="D175" s="994"/>
      <c r="E175" s="994"/>
      <c r="F175" s="994"/>
      <c r="G175" s="994"/>
      <c r="H175" s="994"/>
      <c r="I175" s="994"/>
      <c r="J175" s="994"/>
      <c r="K175" s="994"/>
      <c r="L175" s="994"/>
    </row>
    <row r="176" spans="1:12" ht="29.25" customHeight="1" thickBot="1">
      <c r="A176" s="282" t="s">
        <v>299</v>
      </c>
      <c r="B176" s="993" t="s">
        <v>504</v>
      </c>
      <c r="C176" s="994"/>
      <c r="D176" s="994"/>
      <c r="E176" s="994"/>
      <c r="F176" s="994"/>
      <c r="G176" s="994"/>
      <c r="H176" s="994"/>
      <c r="I176" s="994"/>
      <c r="J176" s="994"/>
      <c r="K176" s="994"/>
      <c r="L176" s="994"/>
    </row>
    <row r="177" spans="1:12" ht="29.25" customHeight="1" thickBot="1">
      <c r="A177" s="281" t="s">
        <v>297</v>
      </c>
      <c r="B177" s="998" t="s">
        <v>319</v>
      </c>
      <c r="C177" s="998"/>
      <c r="D177" s="998"/>
      <c r="E177" s="998"/>
      <c r="F177" s="998"/>
      <c r="G177" s="998"/>
      <c r="H177" s="998"/>
      <c r="I177" s="998"/>
      <c r="J177" s="998"/>
      <c r="K177" s="998"/>
      <c r="L177" s="993"/>
    </row>
    <row r="178" spans="1:12" ht="32.25" customHeight="1" thickBot="1">
      <c r="A178" s="278" t="s">
        <v>295</v>
      </c>
      <c r="B178" s="280" t="s">
        <v>294</v>
      </c>
      <c r="C178" s="997" t="s">
        <v>293</v>
      </c>
      <c r="D178" s="993"/>
      <c r="E178" s="279"/>
      <c r="F178" s="997" t="s">
        <v>292</v>
      </c>
      <c r="G178" s="998"/>
      <c r="H178" s="998"/>
      <c r="I178" s="993"/>
      <c r="J178" s="998" t="s">
        <v>291</v>
      </c>
      <c r="K178" s="998"/>
      <c r="L178" s="998"/>
    </row>
    <row r="179" spans="1:12" ht="64.5" customHeight="1" thickBot="1">
      <c r="A179" s="278" t="s">
        <v>290</v>
      </c>
      <c r="B179" s="988" t="s">
        <v>318</v>
      </c>
      <c r="C179" s="989"/>
      <c r="D179" s="989"/>
      <c r="E179" s="989"/>
      <c r="F179" s="989"/>
      <c r="G179" s="989"/>
      <c r="H179" s="989"/>
      <c r="I179" s="989"/>
      <c r="J179" s="989"/>
      <c r="K179" s="989"/>
      <c r="L179" s="989"/>
    </row>
    <row r="180" spans="1:12" ht="32.25" customHeight="1" thickBot="1">
      <c r="A180" s="278" t="s">
        <v>288</v>
      </c>
      <c r="B180" s="1003" t="s">
        <v>317</v>
      </c>
      <c r="C180" s="994"/>
      <c r="D180" s="994"/>
      <c r="E180" s="994"/>
      <c r="F180" s="994"/>
      <c r="G180" s="994"/>
      <c r="H180" s="994"/>
      <c r="I180" s="994"/>
      <c r="J180" s="994"/>
      <c r="K180" s="994"/>
      <c r="L180" s="994"/>
    </row>
    <row r="181" ht="0.75" customHeight="1"/>
    <row r="182" ht="20.25" customHeight="1">
      <c r="A182" s="277" t="s">
        <v>286</v>
      </c>
    </row>
    <row r="183" spans="1:12" ht="18.75" customHeight="1">
      <c r="A183" s="265" t="s">
        <v>283</v>
      </c>
      <c r="L183" s="276" t="s">
        <v>285</v>
      </c>
    </row>
    <row r="184" spans="1:13" ht="27.75" customHeight="1">
      <c r="A184" s="999" t="s">
        <v>278</v>
      </c>
      <c r="B184" s="999" t="s">
        <v>262</v>
      </c>
      <c r="C184" s="999"/>
      <c r="D184" s="999"/>
      <c r="E184" s="394"/>
      <c r="F184" s="999" t="s">
        <v>261</v>
      </c>
      <c r="G184" s="999"/>
      <c r="H184" s="999"/>
      <c r="I184" s="999" t="s">
        <v>260</v>
      </c>
      <c r="J184" s="999"/>
      <c r="K184" s="999"/>
      <c r="L184" s="999"/>
      <c r="M184" s="273" t="s">
        <v>259</v>
      </c>
    </row>
    <row r="185" spans="1:13" ht="13.5" customHeight="1">
      <c r="A185" s="999"/>
      <c r="B185" s="999" t="s">
        <v>258</v>
      </c>
      <c r="C185" s="999" t="s">
        <v>256</v>
      </c>
      <c r="D185" s="999"/>
      <c r="E185" s="999"/>
      <c r="F185" s="999" t="s">
        <v>257</v>
      </c>
      <c r="G185" s="999" t="s">
        <v>256</v>
      </c>
      <c r="H185" s="1038"/>
      <c r="I185" s="999" t="s">
        <v>257</v>
      </c>
      <c r="J185" s="999" t="s">
        <v>256</v>
      </c>
      <c r="K185" s="999"/>
      <c r="L185" s="999"/>
      <c r="M185" s="273"/>
    </row>
    <row r="186" spans="1:13" ht="94.5">
      <c r="A186" s="999"/>
      <c r="B186" s="1037"/>
      <c r="C186" s="394" t="s">
        <v>252</v>
      </c>
      <c r="D186" s="394" t="s">
        <v>277</v>
      </c>
      <c r="E186" s="394" t="s">
        <v>276</v>
      </c>
      <c r="F186" s="999"/>
      <c r="G186" s="394" t="s">
        <v>275</v>
      </c>
      <c r="H186" s="394" t="s">
        <v>253</v>
      </c>
      <c r="I186" s="999"/>
      <c r="J186" s="394" t="s">
        <v>252</v>
      </c>
      <c r="K186" s="394" t="s">
        <v>251</v>
      </c>
      <c r="L186" s="394" t="s">
        <v>274</v>
      </c>
      <c r="M186" s="267"/>
    </row>
    <row r="187" spans="1:13" ht="15.75">
      <c r="A187" s="394" t="s">
        <v>19</v>
      </c>
      <c r="B187" s="269">
        <f>C187+D187+E187</f>
        <v>8109.7</v>
      </c>
      <c r="C187" s="268">
        <f>'прил 4-1'!G30</f>
        <v>5979.7</v>
      </c>
      <c r="D187" s="529">
        <f>'прил 4-1'!H30</f>
        <v>2130</v>
      </c>
      <c r="E187" s="268"/>
      <c r="F187" s="268"/>
      <c r="G187" s="268"/>
      <c r="H187" s="268"/>
      <c r="I187" s="269">
        <f>J187+K187+L187</f>
        <v>9639.3</v>
      </c>
      <c r="J187" s="268">
        <f>'прил 4-2'!G29</f>
        <v>4048.5</v>
      </c>
      <c r="K187" s="268">
        <f>'прил 4-2'!H29</f>
        <v>5190.8</v>
      </c>
      <c r="L187" s="268">
        <f>'прил 4-2'!N29</f>
        <v>400</v>
      </c>
      <c r="M187" s="266">
        <f>B187+F187+I187</f>
        <v>17749</v>
      </c>
    </row>
    <row r="188" spans="1:15" ht="15.75">
      <c r="A188" s="394" t="s">
        <v>20</v>
      </c>
      <c r="B188" s="269">
        <f>C188+D188+E188</f>
        <v>8544.5</v>
      </c>
      <c r="C188" s="268">
        <f>C187</f>
        <v>5979.7</v>
      </c>
      <c r="D188" s="268">
        <f>D187+578.4-143.6</f>
        <v>2564.8</v>
      </c>
      <c r="E188" s="268"/>
      <c r="F188" s="268"/>
      <c r="G188" s="268"/>
      <c r="H188" s="268"/>
      <c r="I188" s="269">
        <f>J188+K188+L188</f>
        <v>9782.9</v>
      </c>
      <c r="J188" s="268">
        <f aca="true" t="shared" si="0" ref="J188:L189">J187</f>
        <v>4048.5</v>
      </c>
      <c r="K188" s="268">
        <f>K187-1587.3+1730.9</f>
        <v>5334.4</v>
      </c>
      <c r="L188" s="268">
        <f t="shared" si="0"/>
        <v>400</v>
      </c>
      <c r="M188" s="266">
        <f>B188+F188+I188</f>
        <v>18327.4</v>
      </c>
      <c r="O188" s="257"/>
    </row>
    <row r="189" spans="1:15" ht="30" customHeight="1">
      <c r="A189" s="399" t="s">
        <v>21</v>
      </c>
      <c r="B189" s="269">
        <f>C189+D189+E189</f>
        <v>9574.1</v>
      </c>
      <c r="C189" s="268">
        <f>C188</f>
        <v>5979.7</v>
      </c>
      <c r="D189" s="268">
        <f>D188+1099.6-141.7</f>
        <v>3522.7000000000003</v>
      </c>
      <c r="E189" s="394">
        <v>71.7</v>
      </c>
      <c r="F189" s="394"/>
      <c r="G189" s="394"/>
      <c r="H189" s="394"/>
      <c r="I189" s="269">
        <f>J189+K189+L189</f>
        <v>9852.9</v>
      </c>
      <c r="J189" s="268">
        <f t="shared" si="0"/>
        <v>4048.5</v>
      </c>
      <c r="K189" s="268">
        <f>K188+70</f>
        <v>5404.4</v>
      </c>
      <c r="L189" s="268">
        <f t="shared" si="0"/>
        <v>400</v>
      </c>
      <c r="M189" s="266">
        <f>B189+F189+I189</f>
        <v>19427</v>
      </c>
      <c r="O189" s="257"/>
    </row>
    <row r="190" spans="1:13" ht="14.25" customHeight="1">
      <c r="A190" s="393"/>
      <c r="B190" s="395"/>
      <c r="C190" s="395"/>
      <c r="D190" s="395"/>
      <c r="E190" s="395"/>
      <c r="F190" s="395"/>
      <c r="G190" s="395"/>
      <c r="H190" s="395"/>
      <c r="I190" s="395"/>
      <c r="J190" s="395"/>
      <c r="K190" s="395"/>
      <c r="L190" s="395"/>
      <c r="M190" s="400"/>
    </row>
    <row r="191" ht="15.75">
      <c r="A191" s="265" t="s">
        <v>284</v>
      </c>
    </row>
    <row r="192" spans="1:4" ht="22.5" customHeight="1" thickBot="1">
      <c r="A192" s="265" t="s">
        <v>283</v>
      </c>
      <c r="B192" s="264" t="s">
        <v>139</v>
      </c>
      <c r="C192" s="264"/>
      <c r="D192" s="264"/>
    </row>
    <row r="193" spans="1:10" ht="32.25" thickBot="1">
      <c r="A193" s="1005" t="s">
        <v>282</v>
      </c>
      <c r="B193" s="1020" t="s">
        <v>281</v>
      </c>
      <c r="C193" s="1021"/>
      <c r="D193" s="1022"/>
      <c r="E193" s="1005" t="s">
        <v>69</v>
      </c>
      <c r="F193" s="262" t="s">
        <v>14</v>
      </c>
      <c r="G193" s="1026" t="s">
        <v>15</v>
      </c>
      <c r="H193" s="1027"/>
      <c r="I193" s="1027"/>
      <c r="J193" s="1028"/>
    </row>
    <row r="194" spans="1:10" ht="16.5" thickBot="1">
      <c r="A194" s="1007"/>
      <c r="B194" s="1023"/>
      <c r="C194" s="1024"/>
      <c r="D194" s="1025"/>
      <c r="E194" s="1007"/>
      <c r="F194" s="260" t="s">
        <v>17</v>
      </c>
      <c r="G194" s="260" t="s">
        <v>18</v>
      </c>
      <c r="H194" s="260" t="s">
        <v>19</v>
      </c>
      <c r="I194" s="260" t="s">
        <v>20</v>
      </c>
      <c r="J194" s="260" t="s">
        <v>21</v>
      </c>
    </row>
    <row r="195" spans="1:10" ht="84" customHeight="1">
      <c r="A195" s="228" t="s">
        <v>141</v>
      </c>
      <c r="B195" s="1045"/>
      <c r="C195" s="1046"/>
      <c r="D195" s="1047"/>
      <c r="E195" s="258" t="s">
        <v>95</v>
      </c>
      <c r="F195" s="258">
        <v>65</v>
      </c>
      <c r="G195" s="259">
        <v>70</v>
      </c>
      <c r="H195" s="258">
        <v>75</v>
      </c>
      <c r="I195" s="258">
        <v>80</v>
      </c>
      <c r="J195" s="258">
        <v>80</v>
      </c>
    </row>
    <row r="200" spans="1:14" ht="15.75">
      <c r="A200" s="1041" t="s">
        <v>278</v>
      </c>
      <c r="B200" s="1041" t="s">
        <v>262</v>
      </c>
      <c r="C200" s="1041"/>
      <c r="D200" s="1041"/>
      <c r="E200" s="609"/>
      <c r="F200" s="1041" t="s">
        <v>261</v>
      </c>
      <c r="G200" s="1041"/>
      <c r="H200" s="1041"/>
      <c r="I200" s="1041" t="s">
        <v>260</v>
      </c>
      <c r="J200" s="1041"/>
      <c r="K200" s="1041"/>
      <c r="L200" s="1041"/>
      <c r="M200" s="607" t="s">
        <v>259</v>
      </c>
      <c r="N200" s="614"/>
    </row>
    <row r="201" spans="1:14" ht="15.75">
      <c r="A201" s="1041"/>
      <c r="B201" s="1041" t="s">
        <v>258</v>
      </c>
      <c r="C201" s="1041" t="s">
        <v>256</v>
      </c>
      <c r="D201" s="1041"/>
      <c r="E201" s="1041"/>
      <c r="F201" s="1041" t="s">
        <v>257</v>
      </c>
      <c r="G201" s="1041" t="s">
        <v>256</v>
      </c>
      <c r="H201" s="1043"/>
      <c r="I201" s="1041" t="s">
        <v>257</v>
      </c>
      <c r="J201" s="1041" t="s">
        <v>256</v>
      </c>
      <c r="K201" s="1041"/>
      <c r="L201" s="1041"/>
      <c r="M201" s="607"/>
      <c r="N201" s="614"/>
    </row>
    <row r="202" spans="1:14" ht="94.5">
      <c r="A202" s="1041"/>
      <c r="B202" s="1042"/>
      <c r="C202" s="609" t="s">
        <v>252</v>
      </c>
      <c r="D202" s="609" t="s">
        <v>277</v>
      </c>
      <c r="E202" s="609" t="s">
        <v>276</v>
      </c>
      <c r="F202" s="1041"/>
      <c r="G202" s="609" t="s">
        <v>275</v>
      </c>
      <c r="H202" s="609" t="s">
        <v>253</v>
      </c>
      <c r="I202" s="1041"/>
      <c r="J202" s="609" t="s">
        <v>252</v>
      </c>
      <c r="K202" s="609" t="s">
        <v>251</v>
      </c>
      <c r="L202" s="609" t="s">
        <v>274</v>
      </c>
      <c r="M202" s="610"/>
      <c r="N202" s="614"/>
    </row>
    <row r="203" spans="1:16" ht="15.75">
      <c r="A203" s="609" t="s">
        <v>19</v>
      </c>
      <c r="B203" s="396">
        <f>B19+B50+B77+B110+B136+B161+B187</f>
        <v>693741.6</v>
      </c>
      <c r="C203" s="750">
        <f>C19+C50+C77+C110+C161+C187</f>
        <v>410110.6000000001</v>
      </c>
      <c r="D203" s="750">
        <f>D19+D50+D77+D110+D136+D161+D187</f>
        <v>279402.7</v>
      </c>
      <c r="E203" s="750">
        <f aca="true" t="shared" si="1" ref="D203:E205">E19+E50+E77+E110+E136+E161+E187</f>
        <v>4228.3</v>
      </c>
      <c r="F203" s="750"/>
      <c r="G203" s="750"/>
      <c r="H203" s="750"/>
      <c r="I203" s="396">
        <f>J203+K203+L203</f>
        <v>272121.9</v>
      </c>
      <c r="J203" s="750">
        <f aca="true" t="shared" si="2" ref="J203:L205">J19+J50+J77+J110+J161+J187+J136</f>
        <v>88085.6</v>
      </c>
      <c r="K203" s="750">
        <f t="shared" si="2"/>
        <v>181175.8</v>
      </c>
      <c r="L203" s="750">
        <f t="shared" si="2"/>
        <v>2860.5</v>
      </c>
      <c r="M203" s="751">
        <f>M19+M50+M77+M110+M136+M161+M187</f>
        <v>965863.4999999999</v>
      </c>
      <c r="N203" s="614"/>
      <c r="O203" s="477"/>
      <c r="P203" s="257"/>
    </row>
    <row r="204" spans="1:16" ht="15.75">
      <c r="A204" s="609" t="s">
        <v>20</v>
      </c>
      <c r="B204" s="396">
        <f>B20+B51+B78+B111+B137+B162+B188</f>
        <v>694176.4</v>
      </c>
      <c r="C204" s="750">
        <f>C20+C51+C78+C111+C137+C162+C188</f>
        <v>410110.6000000001</v>
      </c>
      <c r="D204" s="750">
        <f>D20+D51+D78+D111+D137+D162+D188</f>
        <v>279837.5</v>
      </c>
      <c r="E204" s="750">
        <f t="shared" si="1"/>
        <v>4228.3</v>
      </c>
      <c r="F204" s="750"/>
      <c r="G204" s="750"/>
      <c r="H204" s="750"/>
      <c r="I204" s="396">
        <f>J204+K204+L204</f>
        <v>272265.5</v>
      </c>
      <c r="J204" s="750">
        <f t="shared" si="2"/>
        <v>88085.6</v>
      </c>
      <c r="K204" s="750">
        <f t="shared" si="2"/>
        <v>181319.4</v>
      </c>
      <c r="L204" s="750">
        <f t="shared" si="2"/>
        <v>2860.5</v>
      </c>
      <c r="M204" s="751">
        <f>M20+M51+M78+M111+M137+M162+M188</f>
        <v>966441.8999999999</v>
      </c>
      <c r="N204" s="614"/>
      <c r="O204" s="477"/>
      <c r="P204" s="257"/>
    </row>
    <row r="205" spans="1:16" ht="15.75">
      <c r="A205" s="752" t="s">
        <v>21</v>
      </c>
      <c r="B205" s="396">
        <f>B21+B52+B79+B112+B138+B163+B189</f>
        <v>695206</v>
      </c>
      <c r="C205" s="750">
        <f>C21+C52+C79+C112+C138+C163+C189</f>
        <v>410110.6000000001</v>
      </c>
      <c r="D205" s="750">
        <f t="shared" si="1"/>
        <v>280795.4</v>
      </c>
      <c r="E205" s="750">
        <f t="shared" si="1"/>
        <v>4300</v>
      </c>
      <c r="F205" s="610"/>
      <c r="G205" s="610"/>
      <c r="H205" s="610"/>
      <c r="I205" s="396">
        <f>J205+K205+L205</f>
        <v>272335.5</v>
      </c>
      <c r="J205" s="750">
        <f t="shared" si="2"/>
        <v>88085.6</v>
      </c>
      <c r="K205" s="750">
        <f t="shared" si="2"/>
        <v>181389.4</v>
      </c>
      <c r="L205" s="750">
        <f t="shared" si="2"/>
        <v>2860.5</v>
      </c>
      <c r="M205" s="751">
        <f>M21+M52+M79+M112+M138+M163+M189</f>
        <v>967541.4999999999</v>
      </c>
      <c r="N205" s="614"/>
      <c r="O205" s="477"/>
      <c r="P205" s="257"/>
    </row>
    <row r="206" spans="1:14" ht="15.75">
      <c r="A206" s="614"/>
      <c r="B206" s="614"/>
      <c r="C206" s="615"/>
      <c r="D206" s="615"/>
      <c r="E206" s="615"/>
      <c r="F206" s="614"/>
      <c r="G206" s="614"/>
      <c r="H206" s="614"/>
      <c r="I206" s="614"/>
      <c r="J206" s="615"/>
      <c r="K206" s="615"/>
      <c r="L206" s="615"/>
      <c r="M206" s="615"/>
      <c r="N206" s="614"/>
    </row>
    <row r="207" spans="1:14" ht="15.75">
      <c r="A207" s="614"/>
      <c r="B207" s="614"/>
      <c r="C207" s="614"/>
      <c r="D207" s="614"/>
      <c r="E207" s="614"/>
      <c r="F207" s="614"/>
      <c r="G207" s="614"/>
      <c r="H207" s="614"/>
      <c r="I207" s="614"/>
      <c r="J207" s="614"/>
      <c r="K207" s="614"/>
      <c r="L207" s="614"/>
      <c r="M207" s="614"/>
      <c r="N207" s="614"/>
    </row>
    <row r="208" spans="1:14" ht="15.75">
      <c r="A208" s="614"/>
      <c r="B208" s="614"/>
      <c r="C208" s="614"/>
      <c r="D208" s="614"/>
      <c r="E208" s="614"/>
      <c r="F208" s="614"/>
      <c r="G208" s="614"/>
      <c r="H208" s="614"/>
      <c r="I208" s="614"/>
      <c r="J208" s="614"/>
      <c r="K208" s="614"/>
      <c r="L208" s="614"/>
      <c r="M208" s="614"/>
      <c r="N208" s="614"/>
    </row>
    <row r="212" spans="3:12" ht="15.75">
      <c r="C212" s="257"/>
      <c r="D212" s="257"/>
      <c r="E212" s="257"/>
      <c r="J212" s="257"/>
      <c r="K212" s="257"/>
      <c r="L212" s="257"/>
    </row>
    <row r="213" spans="3:12" ht="15.75">
      <c r="C213" s="257"/>
      <c r="D213" s="257"/>
      <c r="E213" s="257"/>
      <c r="J213" s="257"/>
      <c r="K213" s="257"/>
      <c r="L213" s="257"/>
    </row>
    <row r="214" spans="3:12" ht="15.75">
      <c r="C214" s="257"/>
      <c r="D214" s="257"/>
      <c r="E214" s="257"/>
      <c r="J214" s="257"/>
      <c r="K214" s="257"/>
      <c r="L214" s="257"/>
    </row>
  </sheetData>
  <sheetProtection/>
  <mergeCells count="202">
    <mergeCell ref="B169:D169"/>
    <mergeCell ref="F159:F160"/>
    <mergeCell ref="G159:H159"/>
    <mergeCell ref="J178:L178"/>
    <mergeCell ref="I159:I160"/>
    <mergeCell ref="J159:L159"/>
    <mergeCell ref="J152:L152"/>
    <mergeCell ref="B120:D120"/>
    <mergeCell ref="A122:L122"/>
    <mergeCell ref="B123:L123"/>
    <mergeCell ref="A142:A143"/>
    <mergeCell ref="B142:D143"/>
    <mergeCell ref="E142:E143"/>
    <mergeCell ref="G142:J142"/>
    <mergeCell ref="C127:D127"/>
    <mergeCell ref="F127:I127"/>
    <mergeCell ref="J127:L127"/>
    <mergeCell ref="B128:L128"/>
    <mergeCell ref="B129:L129"/>
    <mergeCell ref="A167:A168"/>
    <mergeCell ref="B167:D168"/>
    <mergeCell ref="E167:E168"/>
    <mergeCell ref="J134:L134"/>
    <mergeCell ref="G167:J167"/>
    <mergeCell ref="A193:A194"/>
    <mergeCell ref="B193:D194"/>
    <mergeCell ref="E193:E194"/>
    <mergeCell ref="G193:J193"/>
    <mergeCell ref="B179:L179"/>
    <mergeCell ref="B180:L180"/>
    <mergeCell ref="A184:A186"/>
    <mergeCell ref="A172:M172"/>
    <mergeCell ref="B174:L174"/>
    <mergeCell ref="B175:L175"/>
    <mergeCell ref="B176:L176"/>
    <mergeCell ref="B177:L177"/>
    <mergeCell ref="C178:D178"/>
    <mergeCell ref="F178:I178"/>
    <mergeCell ref="B195:D195"/>
    <mergeCell ref="I185:I186"/>
    <mergeCell ref="J185:L185"/>
    <mergeCell ref="B184:D184"/>
    <mergeCell ref="F184:H184"/>
    <mergeCell ref="I184:L184"/>
    <mergeCell ref="B185:B186"/>
    <mergeCell ref="C185:E185"/>
    <mergeCell ref="F185:F186"/>
    <mergeCell ref="G185:H185"/>
    <mergeCell ref="B153:L153"/>
    <mergeCell ref="B154:L154"/>
    <mergeCell ref="B144:D144"/>
    <mergeCell ref="B148:L148"/>
    <mergeCell ref="C134:E134"/>
    <mergeCell ref="F134:F135"/>
    <mergeCell ref="G134:H134"/>
    <mergeCell ref="I134:I135"/>
    <mergeCell ref="A158:A160"/>
    <mergeCell ref="B158:D158"/>
    <mergeCell ref="F158:H158"/>
    <mergeCell ref="I158:L158"/>
    <mergeCell ref="B159:B160"/>
    <mergeCell ref="C159:E159"/>
    <mergeCell ref="B149:L149"/>
    <mergeCell ref="B150:L150"/>
    <mergeCell ref="B151:L151"/>
    <mergeCell ref="C152:D152"/>
    <mergeCell ref="F152:I152"/>
    <mergeCell ref="A133:A135"/>
    <mergeCell ref="B133:D133"/>
    <mergeCell ref="F133:H133"/>
    <mergeCell ref="I133:L133"/>
    <mergeCell ref="B134:B135"/>
    <mergeCell ref="A200:A202"/>
    <mergeCell ref="B200:D200"/>
    <mergeCell ref="F200:H200"/>
    <mergeCell ref="I200:L200"/>
    <mergeCell ref="B201:B202"/>
    <mergeCell ref="C201:E201"/>
    <mergeCell ref="F201:F202"/>
    <mergeCell ref="G201:H201"/>
    <mergeCell ref="I201:I202"/>
    <mergeCell ref="J201:L201"/>
    <mergeCell ref="B124:L124"/>
    <mergeCell ref="B125:L125"/>
    <mergeCell ref="B126:L126"/>
    <mergeCell ref="A107:A109"/>
    <mergeCell ref="B107:D107"/>
    <mergeCell ref="F107:H107"/>
    <mergeCell ref="I107:L107"/>
    <mergeCell ref="B108:B109"/>
    <mergeCell ref="C108:E108"/>
    <mergeCell ref="F108:F109"/>
    <mergeCell ref="G108:H108"/>
    <mergeCell ref="I108:I109"/>
    <mergeCell ref="J108:L108"/>
    <mergeCell ref="A116:A117"/>
    <mergeCell ref="B116:D117"/>
    <mergeCell ref="E116:E117"/>
    <mergeCell ref="G116:J116"/>
    <mergeCell ref="B118:D118"/>
    <mergeCell ref="B119:D119"/>
    <mergeCell ref="B102:L102"/>
    <mergeCell ref="B103:L103"/>
    <mergeCell ref="B69:L69"/>
    <mergeCell ref="B70:L70"/>
    <mergeCell ref="B99:L99"/>
    <mergeCell ref="B85:D85"/>
    <mergeCell ref="B86:D86"/>
    <mergeCell ref="B90:D90"/>
    <mergeCell ref="B91:D91"/>
    <mergeCell ref="B92:D92"/>
    <mergeCell ref="B89:D89"/>
    <mergeCell ref="B100:L100"/>
    <mergeCell ref="C101:D101"/>
    <mergeCell ref="F101:I101"/>
    <mergeCell ref="J101:L101"/>
    <mergeCell ref="A74:A76"/>
    <mergeCell ref="B74:D74"/>
    <mergeCell ref="F74:H74"/>
    <mergeCell ref="I74:L74"/>
    <mergeCell ref="B75:B76"/>
    <mergeCell ref="C75:E75"/>
    <mergeCell ref="F75:F76"/>
    <mergeCell ref="G75:H75"/>
    <mergeCell ref="I75:I76"/>
    <mergeCell ref="J75:L75"/>
    <mergeCell ref="A83:A84"/>
    <mergeCell ref="B83:D84"/>
    <mergeCell ref="E83:E84"/>
    <mergeCell ref="G83:J83"/>
    <mergeCell ref="B87:D87"/>
    <mergeCell ref="B88:D88"/>
    <mergeCell ref="A95:M95"/>
    <mergeCell ref="B97:L97"/>
    <mergeCell ref="B98:L98"/>
    <mergeCell ref="B67:L67"/>
    <mergeCell ref="C68:D68"/>
    <mergeCell ref="F68:I68"/>
    <mergeCell ref="J68:L68"/>
    <mergeCell ref="I48:I49"/>
    <mergeCell ref="J48:L48"/>
    <mergeCell ref="B56:D57"/>
    <mergeCell ref="E56:E57"/>
    <mergeCell ref="G56:J56"/>
    <mergeCell ref="B59:D59"/>
    <mergeCell ref="F48:F49"/>
    <mergeCell ref="G48:H48"/>
    <mergeCell ref="A62:M62"/>
    <mergeCell ref="B64:L64"/>
    <mergeCell ref="B65:L65"/>
    <mergeCell ref="B66:L66"/>
    <mergeCell ref="A56:A57"/>
    <mergeCell ref="B58:D58"/>
    <mergeCell ref="B42:L42"/>
    <mergeCell ref="B43:L43"/>
    <mergeCell ref="A47:A49"/>
    <mergeCell ref="B47:D47"/>
    <mergeCell ref="F47:H47"/>
    <mergeCell ref="I47:L47"/>
    <mergeCell ref="B48:B49"/>
    <mergeCell ref="C48:E48"/>
    <mergeCell ref="A35:M35"/>
    <mergeCell ref="B37:L37"/>
    <mergeCell ref="B38:L38"/>
    <mergeCell ref="B39:L39"/>
    <mergeCell ref="B40:L40"/>
    <mergeCell ref="C41:D41"/>
    <mergeCell ref="F41:I41"/>
    <mergeCell ref="J41:L41"/>
    <mergeCell ref="A25:A26"/>
    <mergeCell ref="B25:D26"/>
    <mergeCell ref="E25:E26"/>
    <mergeCell ref="B31:D31"/>
    <mergeCell ref="B29:D29"/>
    <mergeCell ref="B32:D32"/>
    <mergeCell ref="B33:D33"/>
    <mergeCell ref="B30:D30"/>
    <mergeCell ref="B12:L12"/>
    <mergeCell ref="B15:K15"/>
    <mergeCell ref="A16:A18"/>
    <mergeCell ref="B16:D16"/>
    <mergeCell ref="F16:H16"/>
    <mergeCell ref="I16:L16"/>
    <mergeCell ref="B17:B18"/>
    <mergeCell ref="C17:E17"/>
    <mergeCell ref="F17:F18"/>
    <mergeCell ref="G17:H17"/>
    <mergeCell ref="I17:I18"/>
    <mergeCell ref="J17:L17"/>
    <mergeCell ref="F25:J25"/>
    <mergeCell ref="B11:L11"/>
    <mergeCell ref="H1:M1"/>
    <mergeCell ref="H2:M2"/>
    <mergeCell ref="H3:M3"/>
    <mergeCell ref="A4:M4"/>
    <mergeCell ref="B6:L6"/>
    <mergeCell ref="B7:L7"/>
    <mergeCell ref="B8:L8"/>
    <mergeCell ref="B9:L9"/>
    <mergeCell ref="C10:D10"/>
    <mergeCell ref="F10:I10"/>
    <mergeCell ref="J10:L10"/>
  </mergeCells>
  <printOptions/>
  <pageMargins left="0.984251968503937" right="0.3937007874015748" top="0.1968503937007874" bottom="0.3937007874015748" header="0.31496062992125984" footer="0.11811023622047245"/>
  <pageSetup fitToHeight="0" horizontalDpi="600" verticalDpi="600" orientation="landscape" paperSize="9" scale="74" r:id="rId1"/>
  <headerFooter>
    <oddFooter>&amp;R&amp;"Arial,курсив"&amp;8&amp;A  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415"/>
  <sheetViews>
    <sheetView zoomScalePageLayoutView="0" workbookViewId="0" topLeftCell="A372">
      <selection activeCell="A402" sqref="A402:M408"/>
    </sheetView>
  </sheetViews>
  <sheetFormatPr defaultColWidth="9.140625" defaultRowHeight="12.75"/>
  <cols>
    <col min="1" max="1" width="18.7109375" style="256" customWidth="1"/>
    <col min="2" max="2" width="16.00390625" style="256" customWidth="1"/>
    <col min="3" max="3" width="13.140625" style="256" customWidth="1"/>
    <col min="4" max="4" width="11.421875" style="256" customWidth="1"/>
    <col min="5" max="5" width="11.57421875" style="256" customWidth="1"/>
    <col min="6" max="6" width="11.00390625" style="256" customWidth="1"/>
    <col min="7" max="7" width="11.8515625" style="256" customWidth="1"/>
    <col min="8" max="8" width="11.00390625" style="256" customWidth="1"/>
    <col min="9" max="9" width="16.140625" style="256" customWidth="1"/>
    <col min="10" max="10" width="11.8515625" style="256" customWidth="1"/>
    <col min="11" max="11" width="12.28125" style="256" customWidth="1"/>
    <col min="12" max="12" width="12.140625" style="256" customWidth="1"/>
    <col min="13" max="13" width="17.57421875" style="256" customWidth="1"/>
    <col min="14" max="16" width="9.140625" style="256" customWidth="1"/>
    <col min="17" max="17" width="11.00390625" style="256" bestFit="1" customWidth="1"/>
    <col min="18" max="16384" width="9.140625" style="256" customWidth="1"/>
  </cols>
  <sheetData>
    <row r="1" spans="1:14" ht="31.5" customHeight="1">
      <c r="A1" s="213" t="s">
        <v>0</v>
      </c>
      <c r="H1" s="990" t="s">
        <v>316</v>
      </c>
      <c r="I1" s="990"/>
      <c r="J1" s="990"/>
      <c r="K1" s="990"/>
      <c r="L1" s="990"/>
      <c r="M1" s="990"/>
      <c r="N1" s="342"/>
    </row>
    <row r="2" spans="1:14" ht="17.25" customHeight="1">
      <c r="A2" s="314"/>
      <c r="H2" s="990" t="s">
        <v>271</v>
      </c>
      <c r="I2" s="990"/>
      <c r="J2" s="990"/>
      <c r="K2" s="990"/>
      <c r="L2" s="990"/>
      <c r="M2" s="990"/>
      <c r="N2" s="342"/>
    </row>
    <row r="3" spans="1:14" ht="15.75" customHeight="1">
      <c r="A3" s="314"/>
      <c r="H3" s="990" t="s">
        <v>270</v>
      </c>
      <c r="I3" s="990"/>
      <c r="J3" s="990"/>
      <c r="K3" s="990"/>
      <c r="L3" s="990"/>
      <c r="M3" s="990"/>
      <c r="N3" s="342"/>
    </row>
    <row r="4" spans="1:14" ht="20.25" customHeight="1">
      <c r="A4" s="991" t="s">
        <v>315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342"/>
    </row>
    <row r="5" ht="1.5" customHeight="1" thickBot="1"/>
    <row r="6" spans="1:12" ht="30" customHeight="1" thickBot="1">
      <c r="A6" s="283" t="s">
        <v>303</v>
      </c>
      <c r="B6" s="993" t="s">
        <v>302</v>
      </c>
      <c r="C6" s="994"/>
      <c r="D6" s="994"/>
      <c r="E6" s="994"/>
      <c r="F6" s="994"/>
      <c r="G6" s="994"/>
      <c r="H6" s="994"/>
      <c r="I6" s="994"/>
      <c r="J6" s="994"/>
      <c r="K6" s="994"/>
      <c r="L6" s="994"/>
    </row>
    <row r="7" spans="1:12" ht="24" customHeight="1" thickBot="1">
      <c r="A7" s="278" t="s">
        <v>301</v>
      </c>
      <c r="B7" s="993" t="s">
        <v>392</v>
      </c>
      <c r="C7" s="994"/>
      <c r="D7" s="994"/>
      <c r="E7" s="994"/>
      <c r="F7" s="994"/>
      <c r="G7" s="994"/>
      <c r="H7" s="994"/>
      <c r="I7" s="994"/>
      <c r="J7" s="994"/>
      <c r="K7" s="994"/>
      <c r="L7" s="994"/>
    </row>
    <row r="8" spans="1:12" ht="24.75" customHeight="1" thickBot="1">
      <c r="A8" s="282" t="s">
        <v>299</v>
      </c>
      <c r="B8" s="993" t="s">
        <v>393</v>
      </c>
      <c r="C8" s="994"/>
      <c r="D8" s="994"/>
      <c r="E8" s="994"/>
      <c r="F8" s="994"/>
      <c r="G8" s="994"/>
      <c r="H8" s="994"/>
      <c r="I8" s="994"/>
      <c r="J8" s="994"/>
      <c r="K8" s="994"/>
      <c r="L8" s="994"/>
    </row>
    <row r="9" spans="1:12" ht="29.25" customHeight="1" thickBot="1">
      <c r="A9" s="281" t="s">
        <v>297</v>
      </c>
      <c r="B9" s="998" t="s">
        <v>394</v>
      </c>
      <c r="C9" s="998"/>
      <c r="D9" s="998"/>
      <c r="E9" s="998"/>
      <c r="F9" s="998"/>
      <c r="G9" s="998"/>
      <c r="H9" s="998"/>
      <c r="I9" s="998"/>
      <c r="J9" s="998"/>
      <c r="K9" s="998"/>
      <c r="L9" s="993"/>
    </row>
    <row r="10" spans="1:12" ht="33" customHeight="1" thickBot="1">
      <c r="A10" s="278" t="s">
        <v>295</v>
      </c>
      <c r="B10" s="418" t="s">
        <v>294</v>
      </c>
      <c r="C10" s="997" t="s">
        <v>293</v>
      </c>
      <c r="D10" s="993"/>
      <c r="E10" s="418"/>
      <c r="F10" s="997" t="s">
        <v>292</v>
      </c>
      <c r="G10" s="998"/>
      <c r="H10" s="998"/>
      <c r="I10" s="993"/>
      <c r="J10" s="998" t="s">
        <v>291</v>
      </c>
      <c r="K10" s="998"/>
      <c r="L10" s="998"/>
    </row>
    <row r="11" spans="1:12" ht="82.5" customHeight="1" thickBot="1">
      <c r="A11" s="278" t="s">
        <v>290</v>
      </c>
      <c r="B11" s="988" t="s">
        <v>395</v>
      </c>
      <c r="C11" s="989"/>
      <c r="D11" s="989"/>
      <c r="E11" s="989"/>
      <c r="F11" s="989"/>
      <c r="G11" s="989"/>
      <c r="H11" s="989"/>
      <c r="I11" s="989"/>
      <c r="J11" s="989"/>
      <c r="K11" s="989"/>
      <c r="L11" s="989"/>
    </row>
    <row r="12" spans="1:12" ht="50.25" customHeight="1" thickBot="1">
      <c r="A12" s="278" t="s">
        <v>288</v>
      </c>
      <c r="B12" s="1094" t="s">
        <v>521</v>
      </c>
      <c r="C12" s="1095"/>
      <c r="D12" s="1095"/>
      <c r="E12" s="1095"/>
      <c r="F12" s="1095"/>
      <c r="G12" s="1095"/>
      <c r="H12" s="1095"/>
      <c r="I12" s="1095"/>
      <c r="J12" s="1095"/>
      <c r="K12" s="1095"/>
      <c r="L12" s="1095"/>
    </row>
    <row r="13" ht="16.5" customHeight="1"/>
    <row r="14" ht="20.25" customHeight="1">
      <c r="A14" s="277" t="s">
        <v>286</v>
      </c>
    </row>
    <row r="15" spans="1:12" ht="18.75" customHeight="1" thickBot="1">
      <c r="A15" s="265" t="s">
        <v>283</v>
      </c>
      <c r="L15" s="276" t="s">
        <v>285</v>
      </c>
    </row>
    <row r="16" spans="1:13" ht="27.75" customHeight="1">
      <c r="A16" s="1005" t="s">
        <v>278</v>
      </c>
      <c r="B16" s="1008" t="s">
        <v>262</v>
      </c>
      <c r="C16" s="1009"/>
      <c r="D16" s="1009"/>
      <c r="E16" s="275"/>
      <c r="F16" s="999" t="s">
        <v>261</v>
      </c>
      <c r="G16" s="999"/>
      <c r="H16" s="999"/>
      <c r="I16" s="1008" t="s">
        <v>260</v>
      </c>
      <c r="J16" s="1009"/>
      <c r="K16" s="1009"/>
      <c r="L16" s="1010"/>
      <c r="M16" s="273" t="s">
        <v>259</v>
      </c>
    </row>
    <row r="17" spans="1:13" ht="13.5" customHeight="1">
      <c r="A17" s="1006"/>
      <c r="B17" s="1011" t="s">
        <v>258</v>
      </c>
      <c r="C17" s="1008" t="s">
        <v>256</v>
      </c>
      <c r="D17" s="1009"/>
      <c r="E17" s="1010"/>
      <c r="F17" s="1011" t="s">
        <v>257</v>
      </c>
      <c r="G17" s="1008" t="s">
        <v>256</v>
      </c>
      <c r="H17" s="1014"/>
      <c r="I17" s="1011" t="s">
        <v>257</v>
      </c>
      <c r="J17" s="1015" t="s">
        <v>256</v>
      </c>
      <c r="K17" s="1016"/>
      <c r="L17" s="1017"/>
      <c r="M17" s="271"/>
    </row>
    <row r="18" spans="1:13" ht="79.5" thickBot="1">
      <c r="A18" s="1007"/>
      <c r="B18" s="1012"/>
      <c r="C18" s="274" t="s">
        <v>252</v>
      </c>
      <c r="D18" s="274" t="s">
        <v>277</v>
      </c>
      <c r="E18" s="274" t="s">
        <v>276</v>
      </c>
      <c r="F18" s="1013"/>
      <c r="G18" s="274" t="s">
        <v>275</v>
      </c>
      <c r="H18" s="274" t="s">
        <v>253</v>
      </c>
      <c r="I18" s="1013"/>
      <c r="J18" s="274" t="s">
        <v>252</v>
      </c>
      <c r="K18" s="274" t="s">
        <v>251</v>
      </c>
      <c r="L18" s="274" t="s">
        <v>274</v>
      </c>
      <c r="M18" s="267"/>
    </row>
    <row r="19" spans="1:16" ht="15.75">
      <c r="A19" s="274" t="s">
        <v>19</v>
      </c>
      <c r="B19" s="269">
        <f>C19+D19+E19</f>
        <v>58884.9</v>
      </c>
      <c r="C19" s="268">
        <f>'прил 4-1'!G32</f>
        <v>53780.5</v>
      </c>
      <c r="D19" s="268">
        <f>'прил 4-1'!H32</f>
        <v>5104.400000000001</v>
      </c>
      <c r="E19" s="268"/>
      <c r="F19" s="268"/>
      <c r="G19" s="268"/>
      <c r="H19" s="268"/>
      <c r="I19" s="269">
        <f>J19+K19+L19</f>
        <v>13050.199999999999</v>
      </c>
      <c r="J19" s="268">
        <f>'прил 4-2'!G32</f>
        <v>2702.3999999999996</v>
      </c>
      <c r="K19" s="268">
        <f>'прил 4-2'!H32</f>
        <v>7803.9</v>
      </c>
      <c r="L19" s="268">
        <f>'прил 4-2'!N32</f>
        <v>2543.9</v>
      </c>
      <c r="M19" s="401">
        <f>B19+I19</f>
        <v>71935.1</v>
      </c>
      <c r="O19" s="257"/>
      <c r="P19" s="257"/>
    </row>
    <row r="20" spans="1:16" ht="15.75">
      <c r="A20" s="274" t="s">
        <v>20</v>
      </c>
      <c r="B20" s="269">
        <f>C20+D20+E20</f>
        <v>58884.9</v>
      </c>
      <c r="C20" s="268">
        <f>C19</f>
        <v>53780.5</v>
      </c>
      <c r="D20" s="268">
        <f>D19</f>
        <v>5104.400000000001</v>
      </c>
      <c r="E20" s="268"/>
      <c r="F20" s="268"/>
      <c r="G20" s="268"/>
      <c r="H20" s="268"/>
      <c r="I20" s="269">
        <f>J20+K20+L20</f>
        <v>13050.199999999999</v>
      </c>
      <c r="J20" s="268">
        <f aca="true" t="shared" si="0" ref="J20:L21">J19</f>
        <v>2702.3999999999996</v>
      </c>
      <c r="K20" s="268">
        <f t="shared" si="0"/>
        <v>7803.9</v>
      </c>
      <c r="L20" s="268">
        <f t="shared" si="0"/>
        <v>2543.9</v>
      </c>
      <c r="M20" s="401">
        <f>B20+I20</f>
        <v>71935.1</v>
      </c>
      <c r="O20" s="257"/>
      <c r="P20" s="257"/>
    </row>
    <row r="21" spans="1:16" ht="15.75">
      <c r="A21" s="414" t="s">
        <v>21</v>
      </c>
      <c r="B21" s="269">
        <f>C21+D21+E21</f>
        <v>58884.9</v>
      </c>
      <c r="C21" s="268">
        <f>C20</f>
        <v>53780.5</v>
      </c>
      <c r="D21" s="268">
        <f>D20</f>
        <v>5104.400000000001</v>
      </c>
      <c r="E21" s="268"/>
      <c r="F21" s="268"/>
      <c r="G21" s="268"/>
      <c r="H21" s="268"/>
      <c r="I21" s="269">
        <f>J21+K21+L21</f>
        <v>13050.199999999999</v>
      </c>
      <c r="J21" s="268">
        <f t="shared" si="0"/>
        <v>2702.3999999999996</v>
      </c>
      <c r="K21" s="268">
        <f t="shared" si="0"/>
        <v>7803.9</v>
      </c>
      <c r="L21" s="268">
        <f t="shared" si="0"/>
        <v>2543.9</v>
      </c>
      <c r="M21" s="401">
        <f>B21+I21</f>
        <v>71935.1</v>
      </c>
      <c r="O21" s="257"/>
      <c r="P21" s="257"/>
    </row>
    <row r="22" spans="2:13" ht="17.25" customHeight="1"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416"/>
    </row>
    <row r="23" spans="1:13" ht="15.75">
      <c r="A23" s="265" t="s">
        <v>284</v>
      </c>
      <c r="M23" s="400"/>
    </row>
    <row r="24" spans="1:3" ht="22.5" customHeight="1" thickBot="1">
      <c r="A24" s="265" t="s">
        <v>283</v>
      </c>
      <c r="B24" s="264"/>
      <c r="C24" s="264"/>
    </row>
    <row r="25" spans="1:10" ht="16.5" customHeight="1">
      <c r="A25" s="1005" t="s">
        <v>282</v>
      </c>
      <c r="B25" s="1020" t="s">
        <v>281</v>
      </c>
      <c r="C25" s="1021"/>
      <c r="D25" s="1022"/>
      <c r="E25" s="1005" t="s">
        <v>69</v>
      </c>
      <c r="F25" s="1020" t="s">
        <v>15</v>
      </c>
      <c r="G25" s="1021"/>
      <c r="H25" s="1021"/>
      <c r="I25" s="1021"/>
      <c r="J25" s="1022"/>
    </row>
    <row r="26" spans="1:10" ht="16.5" thickBot="1">
      <c r="A26" s="1007"/>
      <c r="B26" s="1023"/>
      <c r="C26" s="1024"/>
      <c r="D26" s="1025"/>
      <c r="E26" s="1023"/>
      <c r="F26" s="414" t="s">
        <v>17</v>
      </c>
      <c r="G26" s="414" t="s">
        <v>18</v>
      </c>
      <c r="H26" s="414" t="s">
        <v>19</v>
      </c>
      <c r="I26" s="414" t="s">
        <v>20</v>
      </c>
      <c r="J26" s="414" t="s">
        <v>490</v>
      </c>
    </row>
    <row r="27" spans="1:10" ht="63.75">
      <c r="A27" s="344" t="s">
        <v>151</v>
      </c>
      <c r="B27" s="1091"/>
      <c r="C27" s="1092"/>
      <c r="D27" s="1093"/>
      <c r="E27" s="326" t="s">
        <v>83</v>
      </c>
      <c r="F27" s="344" t="s">
        <v>155</v>
      </c>
      <c r="G27" s="344" t="s">
        <v>155</v>
      </c>
      <c r="H27" s="344" t="s">
        <v>155</v>
      </c>
      <c r="I27" s="344" t="s">
        <v>155</v>
      </c>
      <c r="J27" s="344" t="s">
        <v>155</v>
      </c>
    </row>
    <row r="28" spans="1:10" ht="76.5">
      <c r="A28" s="344" t="s">
        <v>153</v>
      </c>
      <c r="B28" s="1091" t="s">
        <v>68</v>
      </c>
      <c r="C28" s="1092"/>
      <c r="D28" s="1093"/>
      <c r="E28" s="326" t="s">
        <v>60</v>
      </c>
      <c r="F28" s="344">
        <v>29</v>
      </c>
      <c r="G28" s="344">
        <v>30</v>
      </c>
      <c r="H28" s="344">
        <v>31</v>
      </c>
      <c r="I28" s="344">
        <v>32</v>
      </c>
      <c r="J28" s="344">
        <v>32</v>
      </c>
    </row>
    <row r="29" spans="1:10" ht="102">
      <c r="A29" s="344" t="s">
        <v>154</v>
      </c>
      <c r="B29" s="1091" t="s">
        <v>68</v>
      </c>
      <c r="C29" s="1092"/>
      <c r="D29" s="1093"/>
      <c r="E29" s="326" t="s">
        <v>60</v>
      </c>
      <c r="F29" s="344" t="s">
        <v>155</v>
      </c>
      <c r="G29" s="344" t="s">
        <v>155</v>
      </c>
      <c r="H29" s="344" t="s">
        <v>155</v>
      </c>
      <c r="I29" s="344" t="s">
        <v>155</v>
      </c>
      <c r="J29" s="344" t="s">
        <v>155</v>
      </c>
    </row>
    <row r="30" spans="1:10" ht="89.25">
      <c r="A30" s="344" t="s">
        <v>396</v>
      </c>
      <c r="B30" s="1091" t="s">
        <v>397</v>
      </c>
      <c r="C30" s="1092"/>
      <c r="D30" s="1093"/>
      <c r="E30" s="326" t="s">
        <v>51</v>
      </c>
      <c r="F30" s="344">
        <v>29</v>
      </c>
      <c r="G30" s="344">
        <v>30</v>
      </c>
      <c r="H30" s="344">
        <v>31</v>
      </c>
      <c r="I30" s="344">
        <v>32</v>
      </c>
      <c r="J30" s="344">
        <v>32</v>
      </c>
    </row>
    <row r="32" ht="16.5" thickBot="1"/>
    <row r="33" spans="1:12" ht="24" customHeight="1" thickBot="1">
      <c r="A33" s="283" t="s">
        <v>303</v>
      </c>
      <c r="B33" s="1071" t="s">
        <v>302</v>
      </c>
      <c r="C33" s="998"/>
      <c r="D33" s="998"/>
      <c r="E33" s="998"/>
      <c r="F33" s="998"/>
      <c r="G33" s="998"/>
      <c r="H33" s="998"/>
      <c r="I33" s="998"/>
      <c r="J33" s="998"/>
      <c r="K33" s="998"/>
      <c r="L33" s="993"/>
    </row>
    <row r="34" spans="1:12" ht="32.25" customHeight="1" thickBot="1">
      <c r="A34" s="278" t="s">
        <v>301</v>
      </c>
      <c r="B34" s="1071" t="s">
        <v>392</v>
      </c>
      <c r="C34" s="998"/>
      <c r="D34" s="998"/>
      <c r="E34" s="998"/>
      <c r="F34" s="998"/>
      <c r="G34" s="998"/>
      <c r="H34" s="998"/>
      <c r="I34" s="998"/>
      <c r="J34" s="998"/>
      <c r="K34" s="998"/>
      <c r="L34" s="993"/>
    </row>
    <row r="35" spans="1:12" ht="28.5" customHeight="1" thickBot="1">
      <c r="A35" s="282" t="s">
        <v>299</v>
      </c>
      <c r="B35" s="1071" t="s">
        <v>398</v>
      </c>
      <c r="C35" s="998"/>
      <c r="D35" s="998"/>
      <c r="E35" s="998"/>
      <c r="F35" s="998"/>
      <c r="G35" s="998"/>
      <c r="H35" s="998"/>
      <c r="I35" s="998"/>
      <c r="J35" s="998"/>
      <c r="K35" s="998"/>
      <c r="L35" s="993"/>
    </row>
    <row r="36" spans="1:12" ht="29.25" customHeight="1" thickBot="1">
      <c r="A36" s="281" t="s">
        <v>297</v>
      </c>
      <c r="B36" s="1071" t="s">
        <v>73</v>
      </c>
      <c r="C36" s="998"/>
      <c r="D36" s="998"/>
      <c r="E36" s="998"/>
      <c r="F36" s="998"/>
      <c r="G36" s="998"/>
      <c r="H36" s="998"/>
      <c r="I36" s="998"/>
      <c r="J36" s="998"/>
      <c r="K36" s="998"/>
      <c r="L36" s="993"/>
    </row>
    <row r="37" spans="1:12" ht="32.25" customHeight="1" thickBot="1">
      <c r="A37" s="278" t="s">
        <v>295</v>
      </c>
      <c r="B37" s="343" t="s">
        <v>294</v>
      </c>
      <c r="C37" s="997" t="s">
        <v>293</v>
      </c>
      <c r="D37" s="993"/>
      <c r="E37" s="343"/>
      <c r="F37" s="997" t="s">
        <v>292</v>
      </c>
      <c r="G37" s="998"/>
      <c r="H37" s="998"/>
      <c r="I37" s="993"/>
      <c r="J37" s="997" t="s">
        <v>291</v>
      </c>
      <c r="K37" s="998"/>
      <c r="L37" s="998"/>
    </row>
    <row r="38" spans="1:12" ht="78" customHeight="1" thickBot="1">
      <c r="A38" s="278" t="s">
        <v>290</v>
      </c>
      <c r="B38" s="988" t="s">
        <v>399</v>
      </c>
      <c r="C38" s="989"/>
      <c r="D38" s="989"/>
      <c r="E38" s="989"/>
      <c r="F38" s="989"/>
      <c r="G38" s="989"/>
      <c r="H38" s="989"/>
      <c r="I38" s="989"/>
      <c r="J38" s="989"/>
      <c r="K38" s="989"/>
      <c r="L38" s="989"/>
    </row>
    <row r="39" spans="1:12" ht="48" thickBot="1">
      <c r="A39" s="278" t="s">
        <v>288</v>
      </c>
      <c r="B39" s="1003" t="s">
        <v>400</v>
      </c>
      <c r="C39" s="994"/>
      <c r="D39" s="994"/>
      <c r="E39" s="994"/>
      <c r="F39" s="994"/>
      <c r="G39" s="994"/>
      <c r="H39" s="994"/>
      <c r="I39" s="994"/>
      <c r="J39" s="994"/>
      <c r="K39" s="994"/>
      <c r="L39" s="994"/>
    </row>
    <row r="40" ht="16.5" customHeight="1"/>
    <row r="41" ht="20.25" customHeight="1">
      <c r="A41" s="277" t="s">
        <v>286</v>
      </c>
    </row>
    <row r="42" spans="1:12" ht="18.75" customHeight="1" thickBot="1">
      <c r="A42" s="265" t="s">
        <v>283</v>
      </c>
      <c r="B42" s="256" t="s">
        <v>401</v>
      </c>
      <c r="L42" s="276" t="s">
        <v>285</v>
      </c>
    </row>
    <row r="43" spans="1:13" ht="27.75" customHeight="1">
      <c r="A43" s="1005" t="s">
        <v>278</v>
      </c>
      <c r="B43" s="1088" t="s">
        <v>262</v>
      </c>
      <c r="C43" s="1009"/>
      <c r="D43" s="1009"/>
      <c r="E43" s="478"/>
      <c r="F43" s="1008" t="s">
        <v>261</v>
      </c>
      <c r="G43" s="1009"/>
      <c r="H43" s="1010"/>
      <c r="I43" s="1008" t="s">
        <v>260</v>
      </c>
      <c r="J43" s="1009"/>
      <c r="K43" s="1009"/>
      <c r="L43" s="1010"/>
      <c r="M43" s="273" t="s">
        <v>259</v>
      </c>
    </row>
    <row r="44" spans="1:13" ht="13.5" customHeight="1">
      <c r="A44" s="1006"/>
      <c r="B44" s="1089" t="s">
        <v>258</v>
      </c>
      <c r="C44" s="1008" t="s">
        <v>256</v>
      </c>
      <c r="D44" s="1009"/>
      <c r="E44" s="1010"/>
      <c r="F44" s="1011" t="s">
        <v>257</v>
      </c>
      <c r="G44" s="1008" t="s">
        <v>256</v>
      </c>
      <c r="H44" s="1010"/>
      <c r="I44" s="1011" t="s">
        <v>257</v>
      </c>
      <c r="J44" s="1008" t="s">
        <v>256</v>
      </c>
      <c r="K44" s="1009"/>
      <c r="L44" s="1010"/>
      <c r="M44" s="271"/>
    </row>
    <row r="45" spans="1:13" ht="79.5" thickBot="1">
      <c r="A45" s="1007"/>
      <c r="B45" s="1090"/>
      <c r="C45" s="479" t="s">
        <v>252</v>
      </c>
      <c r="D45" s="479" t="s">
        <v>277</v>
      </c>
      <c r="E45" s="479" t="s">
        <v>276</v>
      </c>
      <c r="F45" s="1013"/>
      <c r="G45" s="479" t="s">
        <v>275</v>
      </c>
      <c r="H45" s="479" t="s">
        <v>253</v>
      </c>
      <c r="I45" s="1013"/>
      <c r="J45" s="479" t="s">
        <v>252</v>
      </c>
      <c r="K45" s="479" t="s">
        <v>251</v>
      </c>
      <c r="L45" s="479" t="s">
        <v>274</v>
      </c>
      <c r="M45" s="267"/>
    </row>
    <row r="46" spans="1:16" ht="15.75">
      <c r="A46" s="479" t="s">
        <v>19</v>
      </c>
      <c r="B46" s="269">
        <f>C46+D46+E46</f>
        <v>10257</v>
      </c>
      <c r="C46" s="402">
        <f>'прил 4-1'!G33</f>
        <v>8313.1</v>
      </c>
      <c r="D46" s="402">
        <f>'прил 4-1'!H33</f>
        <v>1943.8999999999999</v>
      </c>
      <c r="E46" s="268"/>
      <c r="F46" s="268"/>
      <c r="G46" s="268"/>
      <c r="H46" s="268"/>
      <c r="I46" s="269">
        <f>J46+K46+L46</f>
        <v>0</v>
      </c>
      <c r="J46" s="268"/>
      <c r="K46" s="268"/>
      <c r="L46" s="268"/>
      <c r="M46" s="266">
        <f>B46+F46+I46</f>
        <v>10257</v>
      </c>
      <c r="O46" s="257"/>
      <c r="P46" s="257"/>
    </row>
    <row r="47" spans="1:16" ht="15.75">
      <c r="A47" s="479" t="s">
        <v>21</v>
      </c>
      <c r="B47" s="269">
        <f>C47+D47+E47</f>
        <v>10257</v>
      </c>
      <c r="C47" s="402">
        <f>C46</f>
        <v>8313.1</v>
      </c>
      <c r="D47" s="402">
        <f>D46</f>
        <v>1943.8999999999999</v>
      </c>
      <c r="E47" s="268"/>
      <c r="F47" s="268"/>
      <c r="G47" s="268"/>
      <c r="H47" s="268"/>
      <c r="I47" s="269">
        <f>J47+K47+L47</f>
        <v>0</v>
      </c>
      <c r="J47" s="268"/>
      <c r="K47" s="268"/>
      <c r="L47" s="268"/>
      <c r="M47" s="266">
        <f>B47+F47+I47</f>
        <v>10257</v>
      </c>
      <c r="O47" s="257"/>
      <c r="P47" s="257"/>
    </row>
    <row r="48" spans="1:16" ht="15.75">
      <c r="A48" s="479" t="s">
        <v>20</v>
      </c>
      <c r="B48" s="269">
        <f>C48+D48+E48</f>
        <v>10257</v>
      </c>
      <c r="C48" s="402">
        <f>C47</f>
        <v>8313.1</v>
      </c>
      <c r="D48" s="402">
        <f>D47</f>
        <v>1943.8999999999999</v>
      </c>
      <c r="E48" s="268"/>
      <c r="F48" s="268"/>
      <c r="G48" s="268"/>
      <c r="H48" s="268"/>
      <c r="I48" s="269">
        <f>J48+K48+L48</f>
        <v>0</v>
      </c>
      <c r="J48" s="268"/>
      <c r="K48" s="268"/>
      <c r="L48" s="268"/>
      <c r="M48" s="266">
        <f>B48+F48+I48</f>
        <v>10257</v>
      </c>
      <c r="O48" s="257"/>
      <c r="P48" s="257"/>
    </row>
    <row r="49" spans="2:12" ht="24" customHeight="1"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</row>
    <row r="50" ht="15.75">
      <c r="A50" s="265" t="s">
        <v>284</v>
      </c>
    </row>
    <row r="51" spans="1:4" ht="22.5" customHeight="1" thickBot="1">
      <c r="A51" s="265" t="s">
        <v>283</v>
      </c>
      <c r="B51" s="264" t="s">
        <v>401</v>
      </c>
      <c r="C51" s="264"/>
      <c r="D51" s="264"/>
    </row>
    <row r="52" spans="1:10" ht="16.5" customHeight="1" thickBot="1">
      <c r="A52" s="1005" t="s">
        <v>282</v>
      </c>
      <c r="B52" s="1020" t="s">
        <v>281</v>
      </c>
      <c r="C52" s="1021"/>
      <c r="D52" s="1022"/>
      <c r="E52" s="1020" t="s">
        <v>69</v>
      </c>
      <c r="F52" s="999" t="s">
        <v>15</v>
      </c>
      <c r="G52" s="999"/>
      <c r="H52" s="999"/>
      <c r="I52" s="417"/>
      <c r="J52" s="387"/>
    </row>
    <row r="53" spans="1:10" ht="16.5" thickBot="1">
      <c r="A53" s="1007"/>
      <c r="B53" s="1023"/>
      <c r="C53" s="1024"/>
      <c r="D53" s="1025"/>
      <c r="E53" s="1007"/>
      <c r="F53" s="259" t="s">
        <v>17</v>
      </c>
      <c r="G53" s="415" t="s">
        <v>18</v>
      </c>
      <c r="H53" s="414" t="s">
        <v>19</v>
      </c>
      <c r="I53" s="414" t="s">
        <v>20</v>
      </c>
      <c r="J53" s="274" t="s">
        <v>21</v>
      </c>
    </row>
    <row r="54" spans="1:10" ht="51">
      <c r="A54" s="347" t="s">
        <v>230</v>
      </c>
      <c r="B54" s="1085"/>
      <c r="C54" s="1086"/>
      <c r="D54" s="1087"/>
      <c r="E54" s="326" t="s">
        <v>106</v>
      </c>
      <c r="F54" s="348">
        <v>0.355</v>
      </c>
      <c r="G54" s="348">
        <v>0.2</v>
      </c>
      <c r="H54" s="348">
        <v>0.2</v>
      </c>
      <c r="I54" s="348">
        <v>0.2</v>
      </c>
      <c r="J54" s="349">
        <v>0.2</v>
      </c>
    </row>
    <row r="55" ht="31.5" customHeight="1"/>
    <row r="56" ht="1.5" customHeight="1" thickBot="1"/>
    <row r="57" spans="1:12" ht="24" customHeight="1" thickBot="1">
      <c r="A57" s="283" t="s">
        <v>303</v>
      </c>
      <c r="B57" s="1071" t="s">
        <v>302</v>
      </c>
      <c r="C57" s="998"/>
      <c r="D57" s="998"/>
      <c r="E57" s="998"/>
      <c r="F57" s="998"/>
      <c r="G57" s="998"/>
      <c r="H57" s="998"/>
      <c r="I57" s="998"/>
      <c r="J57" s="998"/>
      <c r="K57" s="998"/>
      <c r="L57" s="993"/>
    </row>
    <row r="58" spans="1:12" ht="32.25" customHeight="1" thickBot="1">
      <c r="A58" s="278" t="s">
        <v>301</v>
      </c>
      <c r="B58" s="993" t="s">
        <v>392</v>
      </c>
      <c r="C58" s="994"/>
      <c r="D58" s="994"/>
      <c r="E58" s="994"/>
      <c r="F58" s="994"/>
      <c r="G58" s="994"/>
      <c r="H58" s="994"/>
      <c r="I58" s="994"/>
      <c r="J58" s="994"/>
      <c r="K58" s="994"/>
      <c r="L58" s="994"/>
    </row>
    <row r="59" spans="1:12" ht="28.5" customHeight="1" thickBot="1">
      <c r="A59" s="282" t="s">
        <v>299</v>
      </c>
      <c r="B59" s="993" t="s">
        <v>402</v>
      </c>
      <c r="C59" s="994"/>
      <c r="D59" s="994"/>
      <c r="E59" s="994"/>
      <c r="F59" s="994"/>
      <c r="G59" s="994"/>
      <c r="H59" s="994"/>
      <c r="I59" s="994"/>
      <c r="J59" s="994"/>
      <c r="K59" s="994"/>
      <c r="L59" s="994"/>
    </row>
    <row r="60" spans="1:12" ht="29.25" customHeight="1" thickBot="1">
      <c r="A60" s="281" t="s">
        <v>297</v>
      </c>
      <c r="B60" s="998" t="s">
        <v>159</v>
      </c>
      <c r="C60" s="998"/>
      <c r="D60" s="998"/>
      <c r="E60" s="998"/>
      <c r="F60" s="998"/>
      <c r="G60" s="998"/>
      <c r="H60" s="998"/>
      <c r="I60" s="998"/>
      <c r="J60" s="998"/>
      <c r="K60" s="998"/>
      <c r="L60" s="993"/>
    </row>
    <row r="61" spans="1:12" ht="32.25" customHeight="1" thickBot="1">
      <c r="A61" s="278" t="s">
        <v>295</v>
      </c>
      <c r="B61" s="343" t="s">
        <v>294</v>
      </c>
      <c r="C61" s="997" t="s">
        <v>293</v>
      </c>
      <c r="D61" s="993"/>
      <c r="E61" s="279"/>
      <c r="F61" s="997" t="s">
        <v>292</v>
      </c>
      <c r="G61" s="998"/>
      <c r="H61" s="998"/>
      <c r="I61" s="993"/>
      <c r="J61" s="998" t="s">
        <v>291</v>
      </c>
      <c r="K61" s="998"/>
      <c r="L61" s="998"/>
    </row>
    <row r="62" spans="1:12" ht="114.75" customHeight="1" thickBot="1">
      <c r="A62" s="278" t="s">
        <v>290</v>
      </c>
      <c r="B62" s="988" t="s">
        <v>403</v>
      </c>
      <c r="C62" s="989"/>
      <c r="D62" s="989"/>
      <c r="E62" s="989"/>
      <c r="F62" s="989"/>
      <c r="G62" s="989"/>
      <c r="H62" s="989"/>
      <c r="I62" s="989"/>
      <c r="J62" s="989"/>
      <c r="K62" s="989"/>
      <c r="L62" s="989"/>
    </row>
    <row r="63" spans="1:12" ht="32.25" customHeight="1" thickBot="1">
      <c r="A63" s="278" t="s">
        <v>288</v>
      </c>
      <c r="B63" s="1003" t="s">
        <v>404</v>
      </c>
      <c r="C63" s="994"/>
      <c r="D63" s="994"/>
      <c r="E63" s="994"/>
      <c r="F63" s="994"/>
      <c r="G63" s="994"/>
      <c r="H63" s="994"/>
      <c r="I63" s="994"/>
      <c r="J63" s="994"/>
      <c r="K63" s="994"/>
      <c r="L63" s="994"/>
    </row>
    <row r="64" ht="16.5" customHeight="1"/>
    <row r="65" ht="20.25" customHeight="1">
      <c r="A65" s="277" t="s">
        <v>286</v>
      </c>
    </row>
    <row r="66" spans="1:12" ht="18.75" customHeight="1" thickBot="1">
      <c r="A66" s="265" t="s">
        <v>283</v>
      </c>
      <c r="B66" s="256" t="s">
        <v>405</v>
      </c>
      <c r="L66" s="276" t="s">
        <v>285</v>
      </c>
    </row>
    <row r="67" spans="1:13" ht="27.75" customHeight="1">
      <c r="A67" s="1005" t="s">
        <v>278</v>
      </c>
      <c r="B67" s="1008" t="s">
        <v>262</v>
      </c>
      <c r="C67" s="1009"/>
      <c r="D67" s="1009"/>
      <c r="E67" s="275"/>
      <c r="F67" s="999" t="s">
        <v>261</v>
      </c>
      <c r="G67" s="999"/>
      <c r="H67" s="999"/>
      <c r="I67" s="1008" t="s">
        <v>260</v>
      </c>
      <c r="J67" s="1009"/>
      <c r="K67" s="1009"/>
      <c r="L67" s="1010"/>
      <c r="M67" s="273" t="s">
        <v>259</v>
      </c>
    </row>
    <row r="68" spans="1:13" ht="13.5" customHeight="1">
      <c r="A68" s="1006"/>
      <c r="B68" s="1011" t="s">
        <v>258</v>
      </c>
      <c r="C68" s="1008" t="s">
        <v>256</v>
      </c>
      <c r="D68" s="1009"/>
      <c r="E68" s="1010"/>
      <c r="F68" s="1011" t="s">
        <v>257</v>
      </c>
      <c r="G68" s="1008" t="s">
        <v>256</v>
      </c>
      <c r="H68" s="1014"/>
      <c r="I68" s="1011" t="s">
        <v>257</v>
      </c>
      <c r="J68" s="1015" t="s">
        <v>256</v>
      </c>
      <c r="K68" s="1016"/>
      <c r="L68" s="1017"/>
      <c r="M68" s="271"/>
    </row>
    <row r="69" spans="1:13" ht="79.5" thickBot="1">
      <c r="A69" s="1007"/>
      <c r="B69" s="1012"/>
      <c r="C69" s="274" t="s">
        <v>252</v>
      </c>
      <c r="D69" s="274" t="s">
        <v>277</v>
      </c>
      <c r="E69" s="274" t="s">
        <v>276</v>
      </c>
      <c r="F69" s="1013"/>
      <c r="G69" s="274" t="s">
        <v>275</v>
      </c>
      <c r="H69" s="274" t="s">
        <v>253</v>
      </c>
      <c r="I69" s="1013"/>
      <c r="J69" s="274" t="s">
        <v>252</v>
      </c>
      <c r="K69" s="274" t="s">
        <v>251</v>
      </c>
      <c r="L69" s="274" t="s">
        <v>274</v>
      </c>
      <c r="M69" s="267"/>
    </row>
    <row r="70" spans="1:16" ht="15.75">
      <c r="A70" s="274" t="s">
        <v>19</v>
      </c>
      <c r="B70" s="269">
        <f>C70+D70+E70</f>
        <v>9000</v>
      </c>
      <c r="C70" s="268"/>
      <c r="D70" s="268">
        <f>'прил 4-1'!H34</f>
        <v>9000</v>
      </c>
      <c r="E70" s="268"/>
      <c r="F70" s="268"/>
      <c r="G70" s="268"/>
      <c r="H70" s="268"/>
      <c r="I70" s="269">
        <f>J70+K70+L70</f>
        <v>0</v>
      </c>
      <c r="J70" s="268"/>
      <c r="K70" s="268"/>
      <c r="L70" s="268"/>
      <c r="M70" s="269">
        <f>B70+F70+I70</f>
        <v>9000</v>
      </c>
      <c r="P70" s="257"/>
    </row>
    <row r="71" spans="1:16" ht="15.75">
      <c r="A71" s="274" t="s">
        <v>20</v>
      </c>
      <c r="B71" s="269">
        <f>C71+D71+E71</f>
        <v>9000</v>
      </c>
      <c r="C71" s="268"/>
      <c r="D71" s="402">
        <f>D70</f>
        <v>9000</v>
      </c>
      <c r="E71" s="268"/>
      <c r="F71" s="268"/>
      <c r="G71" s="268"/>
      <c r="H71" s="268"/>
      <c r="I71" s="269">
        <f>J71+K71+L71</f>
        <v>0</v>
      </c>
      <c r="J71" s="268"/>
      <c r="K71" s="268"/>
      <c r="L71" s="268"/>
      <c r="M71" s="269">
        <f>B71+F71+I71</f>
        <v>9000</v>
      </c>
      <c r="P71" s="257"/>
    </row>
    <row r="72" spans="1:16" ht="15.75">
      <c r="A72" s="414" t="s">
        <v>21</v>
      </c>
      <c r="B72" s="269">
        <f>C72+D72+E72</f>
        <v>9000</v>
      </c>
      <c r="C72" s="268"/>
      <c r="D72" s="402">
        <f>D71</f>
        <v>9000</v>
      </c>
      <c r="E72" s="268"/>
      <c r="F72" s="268"/>
      <c r="G72" s="268"/>
      <c r="H72" s="268"/>
      <c r="I72" s="269">
        <f>J72+K72+L72</f>
        <v>0</v>
      </c>
      <c r="J72" s="268"/>
      <c r="K72" s="268"/>
      <c r="L72" s="268"/>
      <c r="M72" s="269">
        <f>B72+F72+I72</f>
        <v>9000</v>
      </c>
      <c r="P72" s="257"/>
    </row>
    <row r="73" spans="2:13" ht="22.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</row>
    <row r="74" ht="15.75">
      <c r="A74" s="265" t="s">
        <v>284</v>
      </c>
    </row>
    <row r="75" spans="1:4" ht="22.5" customHeight="1" thickBot="1">
      <c r="A75" s="265" t="s">
        <v>283</v>
      </c>
      <c r="B75" s="256" t="s">
        <v>405</v>
      </c>
      <c r="C75" s="264"/>
      <c r="D75" s="264"/>
    </row>
    <row r="76" spans="1:10" ht="15.75" customHeight="1">
      <c r="A76" s="1005" t="s">
        <v>282</v>
      </c>
      <c r="B76" s="1020" t="s">
        <v>281</v>
      </c>
      <c r="C76" s="1021"/>
      <c r="D76" s="1022"/>
      <c r="E76" s="1020" t="s">
        <v>69</v>
      </c>
      <c r="F76" s="1008" t="s">
        <v>15</v>
      </c>
      <c r="G76" s="1009"/>
      <c r="H76" s="1009"/>
      <c r="I76" s="1009"/>
      <c r="J76" s="1010"/>
    </row>
    <row r="77" spans="1:10" ht="15.75">
      <c r="A77" s="1006"/>
      <c r="B77" s="1070"/>
      <c r="C77" s="1032"/>
      <c r="D77" s="1033"/>
      <c r="E77" s="1006"/>
      <c r="F77" s="420" t="s">
        <v>17</v>
      </c>
      <c r="G77" s="419" t="s">
        <v>18</v>
      </c>
      <c r="H77" s="419" t="s">
        <v>19</v>
      </c>
      <c r="I77" s="419" t="s">
        <v>20</v>
      </c>
      <c r="J77" s="419" t="s">
        <v>21</v>
      </c>
    </row>
    <row r="78" spans="1:10" ht="38.25">
      <c r="A78" s="419" t="s">
        <v>160</v>
      </c>
      <c r="B78" s="1059" t="s">
        <v>406</v>
      </c>
      <c r="C78" s="1059"/>
      <c r="D78" s="1059"/>
      <c r="E78" s="311" t="s">
        <v>407</v>
      </c>
      <c r="F78" s="419">
        <v>83.4</v>
      </c>
      <c r="G78" s="419">
        <v>82.5</v>
      </c>
      <c r="H78" s="419">
        <v>80.5</v>
      </c>
      <c r="I78" s="419">
        <v>75.5</v>
      </c>
      <c r="J78" s="419">
        <v>75.5</v>
      </c>
    </row>
    <row r="79" spans="1:10" ht="15.75">
      <c r="A79" s="419" t="s">
        <v>162</v>
      </c>
      <c r="B79" s="1059" t="s">
        <v>159</v>
      </c>
      <c r="C79" s="1059"/>
      <c r="D79" s="1059"/>
      <c r="E79" s="311" t="s">
        <v>408</v>
      </c>
      <c r="F79" s="419">
        <v>235000</v>
      </c>
      <c r="G79" s="419">
        <v>167000</v>
      </c>
      <c r="H79" s="419">
        <v>306000</v>
      </c>
      <c r="I79" s="419">
        <v>313000</v>
      </c>
      <c r="J79" s="419">
        <v>314000</v>
      </c>
    </row>
    <row r="80" ht="15.75" hidden="1"/>
    <row r="81" ht="15.75" hidden="1"/>
    <row r="82" spans="1:12" ht="24" customHeight="1" hidden="1">
      <c r="A82" s="283"/>
      <c r="B82" s="1071"/>
      <c r="C82" s="998"/>
      <c r="D82" s="998"/>
      <c r="E82" s="998"/>
      <c r="F82" s="998"/>
      <c r="G82" s="998"/>
      <c r="H82" s="998"/>
      <c r="I82" s="998"/>
      <c r="J82" s="998"/>
      <c r="K82" s="998"/>
      <c r="L82" s="993"/>
    </row>
    <row r="83" spans="1:12" ht="32.25" customHeight="1" hidden="1">
      <c r="A83" s="278"/>
      <c r="B83" s="993"/>
      <c r="C83" s="994"/>
      <c r="D83" s="994"/>
      <c r="E83" s="994"/>
      <c r="F83" s="994"/>
      <c r="G83" s="994"/>
      <c r="H83" s="994"/>
      <c r="I83" s="994"/>
      <c r="J83" s="994"/>
      <c r="K83" s="994"/>
      <c r="L83" s="994"/>
    </row>
    <row r="84" spans="1:12" ht="28.5" customHeight="1" hidden="1">
      <c r="A84" s="282"/>
      <c r="B84" s="993"/>
      <c r="C84" s="994"/>
      <c r="D84" s="994"/>
      <c r="E84" s="994"/>
      <c r="F84" s="994"/>
      <c r="G84" s="994"/>
      <c r="H84" s="994"/>
      <c r="I84" s="994"/>
      <c r="J84" s="994"/>
      <c r="K84" s="994"/>
      <c r="L84" s="994"/>
    </row>
    <row r="85" spans="1:12" ht="29.25" customHeight="1" hidden="1">
      <c r="A85" s="281"/>
      <c r="B85" s="998"/>
      <c r="C85" s="998"/>
      <c r="D85" s="998"/>
      <c r="E85" s="998"/>
      <c r="F85" s="998"/>
      <c r="G85" s="998"/>
      <c r="H85" s="998"/>
      <c r="I85" s="998"/>
      <c r="J85" s="998"/>
      <c r="K85" s="998"/>
      <c r="L85" s="993"/>
    </row>
    <row r="86" spans="1:12" ht="32.25" customHeight="1" hidden="1">
      <c r="A86" s="278"/>
      <c r="B86" s="343"/>
      <c r="C86" s="997"/>
      <c r="D86" s="993"/>
      <c r="E86" s="343"/>
      <c r="F86" s="997"/>
      <c r="G86" s="998"/>
      <c r="H86" s="998"/>
      <c r="I86" s="993"/>
      <c r="J86" s="998"/>
      <c r="K86" s="998"/>
      <c r="L86" s="998"/>
    </row>
    <row r="87" spans="1:12" ht="43.5" customHeight="1" hidden="1">
      <c r="A87" s="278"/>
      <c r="B87" s="988"/>
      <c r="C87" s="989"/>
      <c r="D87" s="989"/>
      <c r="E87" s="989"/>
      <c r="F87" s="989"/>
      <c r="G87" s="989"/>
      <c r="H87" s="989"/>
      <c r="I87" s="989"/>
      <c r="J87" s="989"/>
      <c r="K87" s="989"/>
      <c r="L87" s="989"/>
    </row>
    <row r="88" spans="1:12" ht="16.5" hidden="1" thickBot="1">
      <c r="A88" s="278"/>
      <c r="B88" s="1003"/>
      <c r="C88" s="994"/>
      <c r="D88" s="994"/>
      <c r="E88" s="994"/>
      <c r="F88" s="994"/>
      <c r="G88" s="994"/>
      <c r="H88" s="994"/>
      <c r="I88" s="994"/>
      <c r="J88" s="994"/>
      <c r="K88" s="994"/>
      <c r="L88" s="994"/>
    </row>
    <row r="89" ht="16.5" customHeight="1" hidden="1"/>
    <row r="90" ht="20.25" customHeight="1" hidden="1">
      <c r="A90" s="277"/>
    </row>
    <row r="91" spans="1:12" ht="18.75" customHeight="1" hidden="1">
      <c r="A91" s="265"/>
      <c r="L91" s="276"/>
    </row>
    <row r="92" spans="1:13" ht="27.75" customHeight="1" hidden="1">
      <c r="A92" s="1005"/>
      <c r="B92" s="1008"/>
      <c r="C92" s="1009"/>
      <c r="D92" s="1009"/>
      <c r="E92" s="275"/>
      <c r="F92" s="999"/>
      <c r="G92" s="999"/>
      <c r="H92" s="999"/>
      <c r="I92" s="1008"/>
      <c r="J92" s="1009"/>
      <c r="K92" s="1009"/>
      <c r="L92" s="1010"/>
      <c r="M92" s="273"/>
    </row>
    <row r="93" spans="1:13" ht="13.5" customHeight="1" hidden="1">
      <c r="A93" s="1006"/>
      <c r="B93" s="1011"/>
      <c r="C93" s="1008"/>
      <c r="D93" s="1009"/>
      <c r="E93" s="1010"/>
      <c r="F93" s="1011"/>
      <c r="G93" s="1008"/>
      <c r="H93" s="1014"/>
      <c r="I93" s="1011"/>
      <c r="J93" s="1015"/>
      <c r="K93" s="1016"/>
      <c r="L93" s="1017"/>
      <c r="M93" s="271"/>
    </row>
    <row r="94" spans="1:13" ht="16.5" hidden="1" thickBot="1">
      <c r="A94" s="1007"/>
      <c r="B94" s="1012"/>
      <c r="C94" s="274"/>
      <c r="D94" s="274"/>
      <c r="E94" s="274"/>
      <c r="F94" s="1013"/>
      <c r="G94" s="274"/>
      <c r="H94" s="274"/>
      <c r="I94" s="1013"/>
      <c r="J94" s="274"/>
      <c r="K94" s="274"/>
      <c r="L94" s="274"/>
      <c r="M94" s="267"/>
    </row>
    <row r="95" spans="1:13" ht="15.75" hidden="1">
      <c r="A95" s="274"/>
      <c r="B95" s="269"/>
      <c r="C95" s="268"/>
      <c r="D95" s="268"/>
      <c r="E95" s="268"/>
      <c r="F95" s="268"/>
      <c r="G95" s="268"/>
      <c r="H95" s="268"/>
      <c r="I95" s="269"/>
      <c r="J95" s="268"/>
      <c r="K95" s="268"/>
      <c r="L95" s="267"/>
      <c r="M95" s="350"/>
    </row>
    <row r="96" spans="1:13" ht="15.75" hidden="1">
      <c r="A96" s="274"/>
      <c r="B96" s="269"/>
      <c r="C96" s="268"/>
      <c r="D96" s="268"/>
      <c r="E96" s="268"/>
      <c r="F96" s="268"/>
      <c r="G96" s="268"/>
      <c r="H96" s="268"/>
      <c r="I96" s="269"/>
      <c r="J96" s="268"/>
      <c r="K96" s="268"/>
      <c r="L96" s="267"/>
      <c r="M96" s="350"/>
    </row>
    <row r="97" spans="1:13" ht="15.75" hidden="1">
      <c r="A97" s="274"/>
      <c r="B97" s="269"/>
      <c r="C97" s="268"/>
      <c r="D97" s="268"/>
      <c r="E97" s="268"/>
      <c r="F97" s="268"/>
      <c r="G97" s="268"/>
      <c r="H97" s="268"/>
      <c r="I97" s="269"/>
      <c r="J97" s="268"/>
      <c r="K97" s="268"/>
      <c r="L97" s="267"/>
      <c r="M97" s="350"/>
    </row>
    <row r="98" spans="2:12" ht="4.5" customHeight="1" hidden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</row>
    <row r="99" ht="15.75" hidden="1">
      <c r="A99" s="265"/>
    </row>
    <row r="100" spans="1:4" ht="22.5" customHeight="1" hidden="1">
      <c r="A100" s="265"/>
      <c r="B100" s="264"/>
      <c r="C100" s="264"/>
      <c r="D100" s="264"/>
    </row>
    <row r="101" spans="1:10" ht="16.5" hidden="1" thickBot="1">
      <c r="A101" s="1005"/>
      <c r="B101" s="1020"/>
      <c r="C101" s="1021"/>
      <c r="D101" s="1022"/>
      <c r="E101" s="1005"/>
      <c r="F101" s="263"/>
      <c r="G101" s="1026"/>
      <c r="H101" s="1027"/>
      <c r="I101" s="1027"/>
      <c r="J101" s="1028"/>
    </row>
    <row r="102" spans="1:10" ht="16.5" hidden="1" thickBot="1">
      <c r="A102" s="1007"/>
      <c r="B102" s="1023"/>
      <c r="C102" s="1024"/>
      <c r="D102" s="1025"/>
      <c r="E102" s="1007"/>
      <c r="F102" s="261"/>
      <c r="G102" s="346"/>
      <c r="H102" s="274"/>
      <c r="I102" s="274"/>
      <c r="J102" s="274"/>
    </row>
    <row r="103" spans="1:10" ht="15.75" hidden="1">
      <c r="A103" s="347"/>
      <c r="B103" s="1082"/>
      <c r="C103" s="1083"/>
      <c r="D103" s="1084"/>
      <c r="E103" s="326"/>
      <c r="F103" s="351"/>
      <c r="G103" s="325"/>
      <c r="H103" s="325"/>
      <c r="I103" s="325"/>
      <c r="J103" s="345"/>
    </row>
    <row r="104" ht="15.75" hidden="1"/>
    <row r="105" ht="15.75" hidden="1"/>
    <row r="106" ht="1.5" customHeight="1" hidden="1"/>
    <row r="107" spans="1:12" ht="24" customHeight="1" hidden="1">
      <c r="A107" s="283"/>
      <c r="B107" s="1071"/>
      <c r="C107" s="998"/>
      <c r="D107" s="998"/>
      <c r="E107" s="998"/>
      <c r="F107" s="998"/>
      <c r="G107" s="998"/>
      <c r="H107" s="998"/>
      <c r="I107" s="998"/>
      <c r="J107" s="998"/>
      <c r="K107" s="998"/>
      <c r="L107" s="993"/>
    </row>
    <row r="108" spans="1:12" ht="32.25" customHeight="1" hidden="1">
      <c r="A108" s="278"/>
      <c r="B108" s="993"/>
      <c r="C108" s="994"/>
      <c r="D108" s="994"/>
      <c r="E108" s="994"/>
      <c r="F108" s="994"/>
      <c r="G108" s="994"/>
      <c r="H108" s="994"/>
      <c r="I108" s="994"/>
      <c r="J108" s="994"/>
      <c r="K108" s="994"/>
      <c r="L108" s="994"/>
    </row>
    <row r="109" spans="1:12" ht="28.5" customHeight="1" hidden="1">
      <c r="A109" s="282"/>
      <c r="B109" s="993"/>
      <c r="C109" s="994"/>
      <c r="D109" s="994"/>
      <c r="E109" s="994"/>
      <c r="F109" s="994"/>
      <c r="G109" s="994"/>
      <c r="H109" s="994"/>
      <c r="I109" s="994"/>
      <c r="J109" s="994"/>
      <c r="K109" s="994"/>
      <c r="L109" s="994"/>
    </row>
    <row r="110" spans="1:12" ht="29.25" customHeight="1" hidden="1">
      <c r="A110" s="281"/>
      <c r="B110" s="998"/>
      <c r="C110" s="998"/>
      <c r="D110" s="998"/>
      <c r="E110" s="998"/>
      <c r="F110" s="998"/>
      <c r="G110" s="998"/>
      <c r="H110" s="998"/>
      <c r="I110" s="998"/>
      <c r="J110" s="998"/>
      <c r="K110" s="998"/>
      <c r="L110" s="993"/>
    </row>
    <row r="111" spans="1:12" ht="32.25" customHeight="1" hidden="1">
      <c r="A111" s="278"/>
      <c r="B111" s="343"/>
      <c r="C111" s="997"/>
      <c r="D111" s="993"/>
      <c r="E111" s="279"/>
      <c r="F111" s="997"/>
      <c r="G111" s="998"/>
      <c r="H111" s="998"/>
      <c r="I111" s="993"/>
      <c r="J111" s="998"/>
      <c r="K111" s="998"/>
      <c r="L111" s="998"/>
    </row>
    <row r="112" spans="1:12" ht="114" customHeight="1" hidden="1">
      <c r="A112" s="278"/>
      <c r="B112" s="988"/>
      <c r="C112" s="989"/>
      <c r="D112" s="989"/>
      <c r="E112" s="989"/>
      <c r="F112" s="989"/>
      <c r="G112" s="989"/>
      <c r="H112" s="989"/>
      <c r="I112" s="989"/>
      <c r="J112" s="989"/>
      <c r="K112" s="989"/>
      <c r="L112" s="989"/>
    </row>
    <row r="113" spans="1:12" ht="16.5" hidden="1" thickBot="1">
      <c r="A113" s="278"/>
      <c r="B113" s="1003"/>
      <c r="C113" s="994"/>
      <c r="D113" s="994"/>
      <c r="E113" s="994"/>
      <c r="F113" s="994"/>
      <c r="G113" s="994"/>
      <c r="H113" s="994"/>
      <c r="I113" s="994"/>
      <c r="J113" s="994"/>
      <c r="K113" s="994"/>
      <c r="L113" s="994"/>
    </row>
    <row r="114" ht="16.5" customHeight="1" hidden="1">
      <c r="B114" s="352"/>
    </row>
    <row r="115" ht="20.25" customHeight="1" hidden="1">
      <c r="A115" s="277"/>
    </row>
    <row r="116" spans="1:12" ht="18.75" customHeight="1" hidden="1">
      <c r="A116" s="265"/>
      <c r="L116" s="276"/>
    </row>
    <row r="117" spans="1:13" ht="27.75" customHeight="1" hidden="1">
      <c r="A117" s="1005"/>
      <c r="B117" s="1008"/>
      <c r="C117" s="1009"/>
      <c r="D117" s="1009"/>
      <c r="E117" s="275"/>
      <c r="F117" s="999"/>
      <c r="G117" s="999"/>
      <c r="H117" s="999"/>
      <c r="I117" s="1008"/>
      <c r="J117" s="1009"/>
      <c r="K117" s="1009"/>
      <c r="L117" s="1010"/>
      <c r="M117" s="273"/>
    </row>
    <row r="118" spans="1:13" ht="13.5" customHeight="1" hidden="1">
      <c r="A118" s="1006"/>
      <c r="B118" s="1011"/>
      <c r="C118" s="1008"/>
      <c r="D118" s="1009"/>
      <c r="E118" s="1010"/>
      <c r="F118" s="1011"/>
      <c r="G118" s="1008"/>
      <c r="H118" s="1014"/>
      <c r="I118" s="1011"/>
      <c r="J118" s="1015"/>
      <c r="K118" s="1016"/>
      <c r="L118" s="1017"/>
      <c r="M118" s="271"/>
    </row>
    <row r="119" spans="1:13" ht="16.5" hidden="1" thickBot="1">
      <c r="A119" s="1007"/>
      <c r="B119" s="1012"/>
      <c r="C119" s="274"/>
      <c r="D119" s="274"/>
      <c r="E119" s="274"/>
      <c r="F119" s="1013"/>
      <c r="G119" s="274"/>
      <c r="H119" s="274"/>
      <c r="I119" s="1013"/>
      <c r="J119" s="274"/>
      <c r="K119" s="274"/>
      <c r="L119" s="274"/>
      <c r="M119" s="267"/>
    </row>
    <row r="120" spans="1:13" ht="15.75" hidden="1">
      <c r="A120" s="274"/>
      <c r="B120" s="269"/>
      <c r="C120" s="268"/>
      <c r="D120" s="268"/>
      <c r="E120" s="268"/>
      <c r="F120" s="268"/>
      <c r="G120" s="268"/>
      <c r="H120" s="268"/>
      <c r="I120" s="269"/>
      <c r="J120" s="268"/>
      <c r="K120" s="268"/>
      <c r="L120" s="267"/>
      <c r="M120" s="266"/>
    </row>
    <row r="121" spans="1:13" ht="15.75" hidden="1">
      <c r="A121" s="274"/>
      <c r="B121" s="269"/>
      <c r="C121" s="268"/>
      <c r="D121" s="268"/>
      <c r="E121" s="268"/>
      <c r="F121" s="268"/>
      <c r="G121" s="268"/>
      <c r="H121" s="268"/>
      <c r="I121" s="269"/>
      <c r="J121" s="268"/>
      <c r="K121" s="268"/>
      <c r="L121" s="267"/>
      <c r="M121" s="266"/>
    </row>
    <row r="122" spans="1:13" ht="15.75" hidden="1">
      <c r="A122" s="274"/>
      <c r="B122" s="269"/>
      <c r="C122" s="268"/>
      <c r="D122" s="268"/>
      <c r="E122" s="268"/>
      <c r="F122" s="268"/>
      <c r="G122" s="268"/>
      <c r="H122" s="268"/>
      <c r="I122" s="269"/>
      <c r="J122" s="268"/>
      <c r="K122" s="268"/>
      <c r="L122" s="267"/>
      <c r="M122" s="266"/>
    </row>
    <row r="123" spans="2:12" ht="4.5" customHeight="1" hidden="1"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</row>
    <row r="124" ht="15.75" hidden="1">
      <c r="A124" s="265"/>
    </row>
    <row r="125" spans="1:4" ht="22.5" customHeight="1" hidden="1">
      <c r="A125" s="265"/>
      <c r="B125" s="264"/>
      <c r="C125" s="264"/>
      <c r="D125" s="264"/>
    </row>
    <row r="126" spans="1:10" ht="16.5" hidden="1" thickBot="1">
      <c r="A126" s="1005"/>
      <c r="B126" s="1020"/>
      <c r="C126" s="1021"/>
      <c r="D126" s="1022"/>
      <c r="E126" s="1005"/>
      <c r="F126" s="263"/>
      <c r="G126" s="1026"/>
      <c r="H126" s="1027"/>
      <c r="I126" s="1027"/>
      <c r="J126" s="1028"/>
    </row>
    <row r="127" spans="1:10" ht="15.75" hidden="1">
      <c r="A127" s="1006"/>
      <c r="B127" s="1070"/>
      <c r="C127" s="1032"/>
      <c r="D127" s="1033"/>
      <c r="E127" s="1006"/>
      <c r="F127" s="303"/>
      <c r="G127" s="353"/>
      <c r="H127" s="272"/>
      <c r="I127" s="272"/>
      <c r="J127" s="272"/>
    </row>
    <row r="128" spans="1:10" ht="15.75" hidden="1">
      <c r="A128" s="335"/>
      <c r="B128" s="1080"/>
      <c r="C128" s="1080"/>
      <c r="D128" s="1080"/>
      <c r="E128" s="329"/>
      <c r="F128" s="330"/>
      <c r="G128" s="330"/>
      <c r="H128" s="330"/>
      <c r="I128" s="330"/>
      <c r="J128" s="354"/>
    </row>
    <row r="129" spans="1:10" s="357" customFormat="1" ht="16.5" hidden="1" thickBot="1">
      <c r="A129" s="334"/>
      <c r="B129" s="1081"/>
      <c r="C129" s="1081"/>
      <c r="D129" s="1081"/>
      <c r="E129" s="333"/>
      <c r="F129" s="355"/>
      <c r="G129" s="355"/>
      <c r="H129" s="355"/>
      <c r="I129" s="355"/>
      <c r="J129" s="356"/>
    </row>
    <row r="131" spans="1:12" ht="24" customHeight="1" hidden="1">
      <c r="A131" s="283"/>
      <c r="B131" s="1071"/>
      <c r="C131" s="998"/>
      <c r="D131" s="998"/>
      <c r="E131" s="998"/>
      <c r="F131" s="998"/>
      <c r="G131" s="998"/>
      <c r="H131" s="998"/>
      <c r="I131" s="998"/>
      <c r="J131" s="998"/>
      <c r="K131" s="998"/>
      <c r="L131" s="993"/>
    </row>
    <row r="132" spans="1:12" ht="32.25" customHeight="1" hidden="1">
      <c r="A132" s="278"/>
      <c r="B132" s="993"/>
      <c r="C132" s="994"/>
      <c r="D132" s="994"/>
      <c r="E132" s="994"/>
      <c r="F132" s="994"/>
      <c r="G132" s="994"/>
      <c r="H132" s="994"/>
      <c r="I132" s="994"/>
      <c r="J132" s="994"/>
      <c r="K132" s="994"/>
      <c r="L132" s="994"/>
    </row>
    <row r="133" spans="1:12" ht="28.5" customHeight="1" hidden="1">
      <c r="A133" s="282"/>
      <c r="B133" s="993"/>
      <c r="C133" s="994"/>
      <c r="D133" s="994"/>
      <c r="E133" s="994"/>
      <c r="F133" s="994"/>
      <c r="G133" s="994"/>
      <c r="H133" s="994"/>
      <c r="I133" s="994"/>
      <c r="J133" s="994"/>
      <c r="K133" s="994"/>
      <c r="L133" s="994"/>
    </row>
    <row r="134" spans="1:12" ht="29.25" customHeight="1" hidden="1">
      <c r="A134" s="281"/>
      <c r="B134" s="998"/>
      <c r="C134" s="998"/>
      <c r="D134" s="998"/>
      <c r="E134" s="998"/>
      <c r="F134" s="998"/>
      <c r="G134" s="998"/>
      <c r="H134" s="998"/>
      <c r="I134" s="998"/>
      <c r="J134" s="998"/>
      <c r="K134" s="998"/>
      <c r="L134" s="993"/>
    </row>
    <row r="135" spans="1:12" ht="32.25" customHeight="1" hidden="1">
      <c r="A135" s="278"/>
      <c r="B135" s="343"/>
      <c r="C135" s="997"/>
      <c r="D135" s="993"/>
      <c r="E135" s="343"/>
      <c r="F135" s="997"/>
      <c r="G135" s="998"/>
      <c r="H135" s="998"/>
      <c r="I135" s="993"/>
      <c r="J135" s="998"/>
      <c r="K135" s="998"/>
      <c r="L135" s="998"/>
    </row>
    <row r="136" spans="1:12" ht="30.75" customHeight="1" hidden="1">
      <c r="A136" s="278"/>
      <c r="B136" s="988"/>
      <c r="C136" s="989"/>
      <c r="D136" s="989"/>
      <c r="E136" s="989"/>
      <c r="F136" s="989"/>
      <c r="G136" s="989"/>
      <c r="H136" s="989"/>
      <c r="I136" s="989"/>
      <c r="J136" s="989"/>
      <c r="K136" s="989"/>
      <c r="L136" s="989"/>
    </row>
    <row r="137" spans="1:12" ht="55.5" customHeight="1" hidden="1">
      <c r="A137" s="278"/>
      <c r="B137" s="1003"/>
      <c r="C137" s="994"/>
      <c r="D137" s="994"/>
      <c r="E137" s="994"/>
      <c r="F137" s="994"/>
      <c r="G137" s="994"/>
      <c r="H137" s="994"/>
      <c r="I137" s="994"/>
      <c r="J137" s="994"/>
      <c r="K137" s="994"/>
      <c r="L137" s="994"/>
    </row>
    <row r="138" ht="16.5" customHeight="1" hidden="1"/>
    <row r="139" ht="20.25" customHeight="1" hidden="1">
      <c r="A139" s="277"/>
    </row>
    <row r="140" spans="1:12" ht="18.75" customHeight="1" hidden="1">
      <c r="A140" s="265"/>
      <c r="L140" s="276"/>
    </row>
    <row r="141" spans="1:13" ht="27.75" customHeight="1" hidden="1">
      <c r="A141" s="1005"/>
      <c r="B141" s="1008"/>
      <c r="C141" s="1009"/>
      <c r="D141" s="1009"/>
      <c r="E141" s="275"/>
      <c r="F141" s="999"/>
      <c r="G141" s="999"/>
      <c r="H141" s="999"/>
      <c r="I141" s="1008"/>
      <c r="J141" s="1009"/>
      <c r="K141" s="1009"/>
      <c r="L141" s="1010"/>
      <c r="M141" s="273"/>
    </row>
    <row r="142" spans="1:13" ht="13.5" customHeight="1" hidden="1">
      <c r="A142" s="1006"/>
      <c r="B142" s="1011"/>
      <c r="C142" s="1008"/>
      <c r="D142" s="1009"/>
      <c r="E142" s="1010"/>
      <c r="F142" s="1011"/>
      <c r="G142" s="1008"/>
      <c r="H142" s="1014"/>
      <c r="I142" s="1011"/>
      <c r="J142" s="1015"/>
      <c r="K142" s="1016"/>
      <c r="L142" s="1017"/>
      <c r="M142" s="271"/>
    </row>
    <row r="143" spans="1:13" ht="16.5" hidden="1" thickBot="1">
      <c r="A143" s="1007"/>
      <c r="B143" s="1012"/>
      <c r="C143" s="274"/>
      <c r="D143" s="274"/>
      <c r="E143" s="274"/>
      <c r="F143" s="1013"/>
      <c r="G143" s="274"/>
      <c r="H143" s="274"/>
      <c r="I143" s="1013"/>
      <c r="J143" s="274"/>
      <c r="K143" s="274"/>
      <c r="L143" s="274"/>
      <c r="M143" s="267"/>
    </row>
    <row r="144" spans="1:13" ht="15.75" hidden="1">
      <c r="A144" s="274"/>
      <c r="B144" s="269"/>
      <c r="C144" s="268"/>
      <c r="D144" s="268"/>
      <c r="E144" s="268"/>
      <c r="F144" s="268"/>
      <c r="G144" s="268"/>
      <c r="H144" s="268"/>
      <c r="I144" s="269"/>
      <c r="J144" s="268"/>
      <c r="K144" s="268"/>
      <c r="L144" s="268"/>
      <c r="M144" s="266"/>
    </row>
    <row r="145" spans="1:13" ht="15.75" hidden="1">
      <c r="A145" s="274"/>
      <c r="B145" s="269"/>
      <c r="C145" s="268"/>
      <c r="D145" s="268"/>
      <c r="E145" s="268"/>
      <c r="F145" s="268"/>
      <c r="G145" s="268"/>
      <c r="H145" s="268"/>
      <c r="I145" s="269"/>
      <c r="J145" s="268"/>
      <c r="K145" s="268"/>
      <c r="L145" s="267"/>
      <c r="M145" s="266"/>
    </row>
    <row r="146" spans="1:13" ht="15.75" hidden="1">
      <c r="A146" s="274"/>
      <c r="B146" s="269"/>
      <c r="C146" s="268"/>
      <c r="D146" s="268"/>
      <c r="E146" s="268"/>
      <c r="F146" s="268"/>
      <c r="G146" s="268"/>
      <c r="H146" s="268"/>
      <c r="I146" s="269"/>
      <c r="J146" s="268"/>
      <c r="K146" s="268"/>
      <c r="L146" s="267"/>
      <c r="M146" s="266"/>
    </row>
    <row r="147" spans="2:12" ht="4.5" customHeight="1" hidden="1"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</row>
    <row r="148" ht="15.75" hidden="1">
      <c r="A148" s="265"/>
    </row>
    <row r="149" spans="1:4" ht="22.5" customHeight="1" hidden="1">
      <c r="A149" s="265"/>
      <c r="B149" s="264"/>
      <c r="C149" s="264"/>
      <c r="D149" s="264"/>
    </row>
    <row r="150" spans="1:10" ht="16.5" hidden="1" thickBot="1">
      <c r="A150" s="1005"/>
      <c r="B150" s="1020"/>
      <c r="C150" s="1021"/>
      <c r="D150" s="1022"/>
      <c r="E150" s="1005"/>
      <c r="F150" s="263"/>
      <c r="G150" s="1026"/>
      <c r="H150" s="1027"/>
      <c r="I150" s="1027"/>
      <c r="J150" s="1028"/>
    </row>
    <row r="151" spans="1:10" ht="15.75" hidden="1">
      <c r="A151" s="1006"/>
      <c r="B151" s="1070"/>
      <c r="C151" s="1032"/>
      <c r="D151" s="1033"/>
      <c r="E151" s="1006"/>
      <c r="F151" s="303"/>
      <c r="G151" s="353"/>
      <c r="H151" s="272"/>
      <c r="I151" s="272"/>
      <c r="J151" s="272"/>
    </row>
    <row r="152" spans="1:10" ht="15.75" hidden="1">
      <c r="A152" s="335"/>
      <c r="B152" s="1080"/>
      <c r="C152" s="1080"/>
      <c r="D152" s="1080"/>
      <c r="E152" s="329"/>
      <c r="F152" s="330"/>
      <c r="G152" s="330"/>
      <c r="H152" s="330"/>
      <c r="I152" s="330"/>
      <c r="J152" s="354"/>
    </row>
    <row r="155" ht="1.5" customHeight="1" thickBot="1"/>
    <row r="156" spans="1:12" ht="24" customHeight="1" thickBot="1">
      <c r="A156" s="283" t="s">
        <v>303</v>
      </c>
      <c r="B156" s="1071" t="s">
        <v>302</v>
      </c>
      <c r="C156" s="998"/>
      <c r="D156" s="998"/>
      <c r="E156" s="998"/>
      <c r="F156" s="998"/>
      <c r="G156" s="998"/>
      <c r="H156" s="998"/>
      <c r="I156" s="998"/>
      <c r="J156" s="998"/>
      <c r="K156" s="998"/>
      <c r="L156" s="993"/>
    </row>
    <row r="157" spans="1:12" ht="32.25" customHeight="1" thickBot="1">
      <c r="A157" s="278" t="s">
        <v>301</v>
      </c>
      <c r="B157" s="993" t="s">
        <v>392</v>
      </c>
      <c r="C157" s="994"/>
      <c r="D157" s="994"/>
      <c r="E157" s="994"/>
      <c r="F157" s="994"/>
      <c r="G157" s="994"/>
      <c r="H157" s="994"/>
      <c r="I157" s="994"/>
      <c r="J157" s="994"/>
      <c r="K157" s="994"/>
      <c r="L157" s="994"/>
    </row>
    <row r="158" spans="1:12" ht="60" customHeight="1" thickBot="1">
      <c r="A158" s="282" t="s">
        <v>299</v>
      </c>
      <c r="B158" s="993" t="s">
        <v>506</v>
      </c>
      <c r="C158" s="994"/>
      <c r="D158" s="994"/>
      <c r="E158" s="994"/>
      <c r="F158" s="994"/>
      <c r="G158" s="994"/>
      <c r="H158" s="994"/>
      <c r="I158" s="994"/>
      <c r="J158" s="994"/>
      <c r="K158" s="994"/>
      <c r="L158" s="994"/>
    </row>
    <row r="159" spans="1:12" ht="29.25" customHeight="1" thickBot="1">
      <c r="A159" s="281" t="s">
        <v>297</v>
      </c>
      <c r="B159" s="998" t="s">
        <v>166</v>
      </c>
      <c r="C159" s="998"/>
      <c r="D159" s="998"/>
      <c r="E159" s="998"/>
      <c r="F159" s="998"/>
      <c r="G159" s="998"/>
      <c r="H159" s="998"/>
      <c r="I159" s="998"/>
      <c r="J159" s="998"/>
      <c r="K159" s="998"/>
      <c r="L159" s="993"/>
    </row>
    <row r="160" spans="1:12" ht="32.25" customHeight="1" thickBot="1">
      <c r="A160" s="278" t="s">
        <v>295</v>
      </c>
      <c r="B160" s="343" t="s">
        <v>294</v>
      </c>
      <c r="C160" s="997" t="s">
        <v>293</v>
      </c>
      <c r="D160" s="993"/>
      <c r="E160" s="279"/>
      <c r="F160" s="997" t="s">
        <v>292</v>
      </c>
      <c r="G160" s="998"/>
      <c r="H160" s="998"/>
      <c r="I160" s="993"/>
      <c r="J160" s="998" t="s">
        <v>291</v>
      </c>
      <c r="K160" s="998"/>
      <c r="L160" s="998"/>
    </row>
    <row r="161" spans="1:12" ht="30.75" customHeight="1" thickBot="1">
      <c r="A161" s="278" t="s">
        <v>290</v>
      </c>
      <c r="B161" s="988" t="s">
        <v>409</v>
      </c>
      <c r="C161" s="989"/>
      <c r="D161" s="989"/>
      <c r="E161" s="989"/>
      <c r="F161" s="989"/>
      <c r="G161" s="989"/>
      <c r="H161" s="989"/>
      <c r="I161" s="989"/>
      <c r="J161" s="989"/>
      <c r="K161" s="989"/>
      <c r="L161" s="989"/>
    </row>
    <row r="162" spans="1:12" ht="114" customHeight="1" thickBot="1">
      <c r="A162" s="278" t="s">
        <v>288</v>
      </c>
      <c r="B162" s="1003" t="s">
        <v>410</v>
      </c>
      <c r="C162" s="994"/>
      <c r="D162" s="994"/>
      <c r="E162" s="994"/>
      <c r="F162" s="994"/>
      <c r="G162" s="994"/>
      <c r="H162" s="994"/>
      <c r="I162" s="994"/>
      <c r="J162" s="994"/>
      <c r="K162" s="994"/>
      <c r="L162" s="994"/>
    </row>
    <row r="163" ht="16.5" customHeight="1"/>
    <row r="164" ht="20.25" customHeight="1">
      <c r="A164" s="277" t="s">
        <v>286</v>
      </c>
    </row>
    <row r="165" spans="1:12" ht="18.75" customHeight="1" thickBot="1">
      <c r="A165" s="265" t="s">
        <v>283</v>
      </c>
      <c r="L165" s="276" t="s">
        <v>285</v>
      </c>
    </row>
    <row r="166" spans="1:13" ht="27.75" customHeight="1">
      <c r="A166" s="1005" t="s">
        <v>278</v>
      </c>
      <c r="B166" s="1008" t="s">
        <v>262</v>
      </c>
      <c r="C166" s="1009"/>
      <c r="D166" s="1009"/>
      <c r="E166" s="275"/>
      <c r="F166" s="999" t="s">
        <v>261</v>
      </c>
      <c r="G166" s="999"/>
      <c r="H166" s="999"/>
      <c r="I166" s="1008" t="s">
        <v>260</v>
      </c>
      <c r="J166" s="1009"/>
      <c r="K166" s="1009"/>
      <c r="L166" s="1010"/>
      <c r="M166" s="273" t="s">
        <v>259</v>
      </c>
    </row>
    <row r="167" spans="1:13" ht="13.5" customHeight="1">
      <c r="A167" s="1006"/>
      <c r="B167" s="1011" t="s">
        <v>258</v>
      </c>
      <c r="C167" s="1008" t="s">
        <v>256</v>
      </c>
      <c r="D167" s="1009"/>
      <c r="E167" s="1010"/>
      <c r="F167" s="1011" t="s">
        <v>257</v>
      </c>
      <c r="G167" s="1008" t="s">
        <v>256</v>
      </c>
      <c r="H167" s="1014"/>
      <c r="I167" s="1011" t="s">
        <v>257</v>
      </c>
      <c r="J167" s="1015" t="s">
        <v>256</v>
      </c>
      <c r="K167" s="1016"/>
      <c r="L167" s="1017"/>
      <c r="M167" s="271"/>
    </row>
    <row r="168" spans="1:13" ht="79.5" thickBot="1">
      <c r="A168" s="1007"/>
      <c r="B168" s="1012"/>
      <c r="C168" s="274" t="s">
        <v>252</v>
      </c>
      <c r="D168" s="274" t="s">
        <v>277</v>
      </c>
      <c r="E168" s="274" t="s">
        <v>276</v>
      </c>
      <c r="F168" s="1013"/>
      <c r="G168" s="274" t="s">
        <v>275</v>
      </c>
      <c r="H168" s="274" t="s">
        <v>253</v>
      </c>
      <c r="I168" s="1013"/>
      <c r="J168" s="274" t="s">
        <v>252</v>
      </c>
      <c r="K168" s="274" t="s">
        <v>251</v>
      </c>
      <c r="L168" s="274" t="s">
        <v>274</v>
      </c>
      <c r="M168" s="267"/>
    </row>
    <row r="169" spans="1:18" ht="15.75">
      <c r="A169" s="274" t="s">
        <v>19</v>
      </c>
      <c r="B169" s="269">
        <f>C169+D169+E169</f>
        <v>0</v>
      </c>
      <c r="C169" s="268"/>
      <c r="D169" s="268"/>
      <c r="E169" s="268"/>
      <c r="F169" s="268"/>
      <c r="G169" s="268"/>
      <c r="H169" s="268"/>
      <c r="I169" s="269">
        <f>J169+K169+L169</f>
        <v>145402.30000000002</v>
      </c>
      <c r="J169" s="268">
        <f>'прил 4-2'!G35</f>
        <v>65660</v>
      </c>
      <c r="K169" s="268">
        <f>'прил 4-2'!H35</f>
        <v>54956.6</v>
      </c>
      <c r="L169" s="402">
        <f>'прил 4-2'!N35</f>
        <v>24785.7</v>
      </c>
      <c r="M169" s="266">
        <f>B169+F169+I169</f>
        <v>145402.30000000002</v>
      </c>
      <c r="R169" s="257"/>
    </row>
    <row r="170" spans="1:18" ht="15.75">
      <c r="A170" s="274" t="s">
        <v>20</v>
      </c>
      <c r="B170" s="269">
        <f>C170+D170+E170</f>
        <v>0</v>
      </c>
      <c r="C170" s="268"/>
      <c r="D170" s="268"/>
      <c r="E170" s="268"/>
      <c r="F170" s="268"/>
      <c r="G170" s="268"/>
      <c r="H170" s="268"/>
      <c r="I170" s="269">
        <f>J170+K170+L170</f>
        <v>145402.30000000002</v>
      </c>
      <c r="J170" s="268">
        <f>J169</f>
        <v>65660</v>
      </c>
      <c r="K170" s="268">
        <f>K169</f>
        <v>54956.6</v>
      </c>
      <c r="L170" s="268">
        <f>L169</f>
        <v>24785.7</v>
      </c>
      <c r="M170" s="266">
        <f>B170+F170+I170</f>
        <v>145402.30000000002</v>
      </c>
      <c r="N170" s="257"/>
      <c r="O170" s="257"/>
      <c r="R170" s="257"/>
    </row>
    <row r="171" spans="1:18" ht="15.75">
      <c r="A171" s="421" t="s">
        <v>490</v>
      </c>
      <c r="B171" s="269">
        <f>C171+D171+E171</f>
        <v>0</v>
      </c>
      <c r="C171" s="268"/>
      <c r="D171" s="268"/>
      <c r="E171" s="268"/>
      <c r="F171" s="268"/>
      <c r="G171" s="268"/>
      <c r="H171" s="268"/>
      <c r="I171" s="269">
        <f>J171+K171+L171</f>
        <v>145402.30000000002</v>
      </c>
      <c r="J171" s="268">
        <f>J170</f>
        <v>65660</v>
      </c>
      <c r="K171" s="268">
        <f>K170</f>
        <v>54956.6</v>
      </c>
      <c r="L171" s="268">
        <f>L170</f>
        <v>24785.7</v>
      </c>
      <c r="M171" s="266">
        <f>B171+F171+I171</f>
        <v>145402.30000000002</v>
      </c>
      <c r="N171" s="257"/>
      <c r="O171" s="257"/>
      <c r="R171" s="257"/>
    </row>
    <row r="172" spans="2:12" ht="21" customHeight="1"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</row>
    <row r="173" ht="15.75">
      <c r="A173" s="265" t="s">
        <v>284</v>
      </c>
    </row>
    <row r="174" spans="1:4" ht="22.5" customHeight="1">
      <c r="A174" s="265" t="s">
        <v>283</v>
      </c>
      <c r="B174" s="407"/>
      <c r="C174" s="407"/>
      <c r="D174" s="407"/>
    </row>
    <row r="175" spans="1:10" ht="16.5" customHeight="1">
      <c r="A175" s="999" t="s">
        <v>282</v>
      </c>
      <c r="B175" s="999" t="s">
        <v>281</v>
      </c>
      <c r="C175" s="999"/>
      <c r="D175" s="999"/>
      <c r="E175" s="999" t="s">
        <v>69</v>
      </c>
      <c r="F175" s="999" t="s">
        <v>15</v>
      </c>
      <c r="G175" s="999"/>
      <c r="H175" s="999"/>
      <c r="I175" s="999"/>
      <c r="J175" s="999"/>
    </row>
    <row r="176" spans="1:10" ht="15.75">
      <c r="A176" s="999"/>
      <c r="B176" s="999"/>
      <c r="C176" s="999"/>
      <c r="D176" s="999"/>
      <c r="E176" s="999"/>
      <c r="F176" s="346" t="s">
        <v>17</v>
      </c>
      <c r="G176" s="421" t="s">
        <v>18</v>
      </c>
      <c r="H176" s="421" t="s">
        <v>19</v>
      </c>
      <c r="I176" s="421" t="s">
        <v>19</v>
      </c>
      <c r="J176" s="421" t="s">
        <v>21</v>
      </c>
    </row>
    <row r="177" spans="1:10" ht="71.25" customHeight="1">
      <c r="A177" s="419" t="s">
        <v>507</v>
      </c>
      <c r="B177" s="1059" t="s">
        <v>166</v>
      </c>
      <c r="C177" s="1059"/>
      <c r="D177" s="1059"/>
      <c r="E177" s="423" t="s">
        <v>60</v>
      </c>
      <c r="F177" s="471">
        <v>0.1</v>
      </c>
      <c r="G177" s="472">
        <v>0.1</v>
      </c>
      <c r="H177" s="473">
        <v>0.1</v>
      </c>
      <c r="I177" s="473">
        <v>0.1</v>
      </c>
      <c r="J177" s="474">
        <v>0.1</v>
      </c>
    </row>
    <row r="178" spans="1:10" ht="62.25" customHeight="1">
      <c r="A178" s="424" t="s">
        <v>168</v>
      </c>
      <c r="B178" s="1059" t="s">
        <v>166</v>
      </c>
      <c r="C178" s="1059"/>
      <c r="D178" s="1059"/>
      <c r="E178" s="423" t="s">
        <v>508</v>
      </c>
      <c r="F178" s="425">
        <v>309</v>
      </c>
      <c r="G178" s="425" t="s">
        <v>88</v>
      </c>
      <c r="H178" s="425" t="s">
        <v>88</v>
      </c>
      <c r="I178" s="425" t="s">
        <v>88</v>
      </c>
      <c r="J178" s="425" t="s">
        <v>88</v>
      </c>
    </row>
    <row r="180" spans="1:14" ht="20.25" customHeight="1">
      <c r="A180" s="991" t="s">
        <v>315</v>
      </c>
      <c r="B180" s="992"/>
      <c r="C180" s="992"/>
      <c r="D180" s="992"/>
      <c r="E180" s="992"/>
      <c r="F180" s="992"/>
      <c r="G180" s="992"/>
      <c r="H180" s="992"/>
      <c r="I180" s="992"/>
      <c r="J180" s="992"/>
      <c r="K180" s="992"/>
      <c r="L180" s="992"/>
      <c r="M180" s="992"/>
      <c r="N180" s="342"/>
    </row>
    <row r="181" ht="1.5" customHeight="1" thickBot="1"/>
    <row r="182" spans="1:12" ht="24" customHeight="1" thickBot="1">
      <c r="A182" s="283" t="s">
        <v>303</v>
      </c>
      <c r="B182" s="1071" t="s">
        <v>302</v>
      </c>
      <c r="C182" s="998"/>
      <c r="D182" s="998"/>
      <c r="E182" s="998"/>
      <c r="F182" s="998"/>
      <c r="G182" s="998"/>
      <c r="H182" s="998"/>
      <c r="I182" s="998"/>
      <c r="J182" s="998"/>
      <c r="K182" s="998"/>
      <c r="L182" s="993"/>
    </row>
    <row r="183" spans="1:12" ht="32.25" customHeight="1" thickBot="1">
      <c r="A183" s="278" t="s">
        <v>301</v>
      </c>
      <c r="B183" s="993" t="s">
        <v>392</v>
      </c>
      <c r="C183" s="994"/>
      <c r="D183" s="994"/>
      <c r="E183" s="994"/>
      <c r="F183" s="994"/>
      <c r="G183" s="994"/>
      <c r="H183" s="994"/>
      <c r="I183" s="994"/>
      <c r="J183" s="994"/>
      <c r="K183" s="994"/>
      <c r="L183" s="994"/>
    </row>
    <row r="184" spans="1:12" ht="28.5" customHeight="1" thickBot="1">
      <c r="A184" s="282" t="s">
        <v>299</v>
      </c>
      <c r="B184" s="993" t="s">
        <v>411</v>
      </c>
      <c r="C184" s="994"/>
      <c r="D184" s="994"/>
      <c r="E184" s="994"/>
      <c r="F184" s="994"/>
      <c r="G184" s="994"/>
      <c r="H184" s="994"/>
      <c r="I184" s="994"/>
      <c r="J184" s="994"/>
      <c r="K184" s="994"/>
      <c r="L184" s="994"/>
    </row>
    <row r="185" spans="1:12" ht="29.25" customHeight="1" thickBot="1">
      <c r="A185" s="281" t="s">
        <v>297</v>
      </c>
      <c r="B185" s="998" t="s">
        <v>73</v>
      </c>
      <c r="C185" s="998"/>
      <c r="D185" s="998"/>
      <c r="E185" s="998"/>
      <c r="F185" s="998"/>
      <c r="G185" s="998"/>
      <c r="H185" s="998"/>
      <c r="I185" s="998"/>
      <c r="J185" s="998"/>
      <c r="K185" s="998"/>
      <c r="L185" s="993"/>
    </row>
    <row r="186" spans="1:12" ht="32.25" customHeight="1" thickBot="1">
      <c r="A186" s="278" t="s">
        <v>295</v>
      </c>
      <c r="B186" s="343" t="s">
        <v>294</v>
      </c>
      <c r="C186" s="997" t="s">
        <v>293</v>
      </c>
      <c r="D186" s="993"/>
      <c r="E186" s="279"/>
      <c r="F186" s="997" t="s">
        <v>292</v>
      </c>
      <c r="G186" s="998"/>
      <c r="H186" s="998"/>
      <c r="I186" s="993"/>
      <c r="J186" s="998" t="s">
        <v>291</v>
      </c>
      <c r="K186" s="998"/>
      <c r="L186" s="998"/>
    </row>
    <row r="187" spans="1:12" ht="42" customHeight="1" thickBot="1">
      <c r="A187" s="278" t="s">
        <v>290</v>
      </c>
      <c r="B187" s="988" t="s">
        <v>412</v>
      </c>
      <c r="C187" s="989"/>
      <c r="D187" s="989"/>
      <c r="E187" s="989"/>
      <c r="F187" s="989"/>
      <c r="G187" s="989"/>
      <c r="H187" s="989"/>
      <c r="I187" s="989"/>
      <c r="J187" s="989"/>
      <c r="K187" s="989"/>
      <c r="L187" s="989"/>
    </row>
    <row r="188" spans="1:12" ht="72.75" customHeight="1" thickBot="1">
      <c r="A188" s="278" t="s">
        <v>288</v>
      </c>
      <c r="B188" s="1003" t="s">
        <v>413</v>
      </c>
      <c r="C188" s="994"/>
      <c r="D188" s="994"/>
      <c r="E188" s="994"/>
      <c r="F188" s="994"/>
      <c r="G188" s="994"/>
      <c r="H188" s="994"/>
      <c r="I188" s="994"/>
      <c r="J188" s="994"/>
      <c r="K188" s="994"/>
      <c r="L188" s="994"/>
    </row>
    <row r="189" ht="16.5" customHeight="1"/>
    <row r="190" ht="20.25" customHeight="1">
      <c r="A190" s="277" t="s">
        <v>286</v>
      </c>
    </row>
    <row r="191" spans="1:12" ht="18.75" customHeight="1" thickBot="1">
      <c r="A191" s="265" t="s">
        <v>283</v>
      </c>
      <c r="L191" s="276" t="s">
        <v>285</v>
      </c>
    </row>
    <row r="192" spans="1:13" ht="27.75" customHeight="1">
      <c r="A192" s="1005" t="s">
        <v>278</v>
      </c>
      <c r="B192" s="1008" t="s">
        <v>262</v>
      </c>
      <c r="C192" s="1009"/>
      <c r="D192" s="1009"/>
      <c r="E192" s="275"/>
      <c r="F192" s="999" t="s">
        <v>261</v>
      </c>
      <c r="G192" s="999"/>
      <c r="H192" s="999"/>
      <c r="I192" s="1008" t="s">
        <v>260</v>
      </c>
      <c r="J192" s="1009"/>
      <c r="K192" s="1009"/>
      <c r="L192" s="1010"/>
      <c r="M192" s="273" t="s">
        <v>259</v>
      </c>
    </row>
    <row r="193" spans="1:13" ht="13.5" customHeight="1">
      <c r="A193" s="1006"/>
      <c r="B193" s="1011" t="s">
        <v>258</v>
      </c>
      <c r="C193" s="1008" t="s">
        <v>256</v>
      </c>
      <c r="D193" s="1009"/>
      <c r="E193" s="1010"/>
      <c r="F193" s="1011" t="s">
        <v>257</v>
      </c>
      <c r="G193" s="1008" t="s">
        <v>256</v>
      </c>
      <c r="H193" s="1014"/>
      <c r="I193" s="1011" t="s">
        <v>257</v>
      </c>
      <c r="J193" s="1015" t="s">
        <v>256</v>
      </c>
      <c r="K193" s="1016"/>
      <c r="L193" s="1017"/>
      <c r="M193" s="271"/>
    </row>
    <row r="194" spans="1:13" ht="78.75">
      <c r="A194" s="1006"/>
      <c r="B194" s="1075"/>
      <c r="C194" s="422" t="s">
        <v>252</v>
      </c>
      <c r="D194" s="422" t="s">
        <v>277</v>
      </c>
      <c r="E194" s="422" t="s">
        <v>276</v>
      </c>
      <c r="F194" s="1074"/>
      <c r="G194" s="422" t="s">
        <v>275</v>
      </c>
      <c r="H194" s="422" t="s">
        <v>253</v>
      </c>
      <c r="I194" s="1074"/>
      <c r="J194" s="422" t="s">
        <v>252</v>
      </c>
      <c r="K194" s="422" t="s">
        <v>251</v>
      </c>
      <c r="L194" s="422" t="s">
        <v>274</v>
      </c>
      <c r="M194" s="384"/>
    </row>
    <row r="195" spans="1:17" ht="15.75">
      <c r="A195" s="421" t="s">
        <v>19</v>
      </c>
      <c r="B195" s="269">
        <f>C195+D195+E195</f>
        <v>64835.9</v>
      </c>
      <c r="C195" s="402">
        <f>'прил 4-1'!G36</f>
        <v>39865</v>
      </c>
      <c r="D195" s="402">
        <f>'прил 4-1'!H36</f>
        <v>24970.9</v>
      </c>
      <c r="E195" s="268"/>
      <c r="F195" s="268"/>
      <c r="G195" s="268"/>
      <c r="H195" s="268"/>
      <c r="I195" s="269">
        <f>J195+K195+L195</f>
        <v>44077.4</v>
      </c>
      <c r="J195" s="268">
        <f>'прил 4-2'!G36</f>
        <v>17666.3</v>
      </c>
      <c r="K195" s="268">
        <f>'прил 4-2'!H36</f>
        <v>22591.600000000002</v>
      </c>
      <c r="L195" s="268">
        <f>'прил 4-2'!N36</f>
        <v>3819.5</v>
      </c>
      <c r="M195" s="266">
        <f>B195+F195+I195</f>
        <v>108913.3</v>
      </c>
      <c r="Q195" s="257"/>
    </row>
    <row r="196" spans="1:17" ht="15.75">
      <c r="A196" s="421" t="s">
        <v>20</v>
      </c>
      <c r="B196" s="269">
        <f>C196+D196+E196</f>
        <v>64835.9</v>
      </c>
      <c r="C196" s="402">
        <f>C195</f>
        <v>39865</v>
      </c>
      <c r="D196" s="402">
        <f>D195</f>
        <v>24970.9</v>
      </c>
      <c r="E196" s="268"/>
      <c r="F196" s="268"/>
      <c r="G196" s="268"/>
      <c r="H196" s="268"/>
      <c r="I196" s="269">
        <f>J196+K196+L196</f>
        <v>44077.4</v>
      </c>
      <c r="J196" s="402">
        <f>J195</f>
        <v>17666.3</v>
      </c>
      <c r="K196" s="402">
        <f>K195</f>
        <v>22591.600000000002</v>
      </c>
      <c r="L196" s="402">
        <f>L195</f>
        <v>3819.5</v>
      </c>
      <c r="M196" s="266">
        <f>B196+F196+I196</f>
        <v>108913.3</v>
      </c>
      <c r="Q196" s="257"/>
    </row>
    <row r="197" spans="1:17" ht="15.75">
      <c r="A197" s="421" t="s">
        <v>21</v>
      </c>
      <c r="B197" s="269">
        <f>C197+D197+E197</f>
        <v>64835.9</v>
      </c>
      <c r="C197" s="402">
        <f>C196</f>
        <v>39865</v>
      </c>
      <c r="D197" s="402">
        <f>D196</f>
        <v>24970.9</v>
      </c>
      <c r="E197" s="268"/>
      <c r="F197" s="268"/>
      <c r="G197" s="268"/>
      <c r="H197" s="268"/>
      <c r="I197" s="269">
        <f>J197+K197+L197</f>
        <v>44077.4</v>
      </c>
      <c r="J197" s="402">
        <f>J196</f>
        <v>17666.3</v>
      </c>
      <c r="K197" s="402">
        <f>K196</f>
        <v>22591.600000000002</v>
      </c>
      <c r="L197" s="402">
        <f>L196</f>
        <v>3819.5</v>
      </c>
      <c r="M197" s="266">
        <f>B197+F197+I197</f>
        <v>108913.3</v>
      </c>
      <c r="Q197" s="257"/>
    </row>
    <row r="198" spans="2:12" ht="27" customHeight="1"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</row>
    <row r="199" ht="15.75">
      <c r="A199" s="265" t="s">
        <v>284</v>
      </c>
    </row>
    <row r="200" spans="1:4" ht="22.5" customHeight="1" thickBot="1">
      <c r="A200" s="265" t="s">
        <v>283</v>
      </c>
      <c r="B200" s="264"/>
      <c r="C200" s="264"/>
      <c r="D200" s="264"/>
    </row>
    <row r="201" spans="1:10" ht="16.5" customHeight="1">
      <c r="A201" s="1005" t="s">
        <v>282</v>
      </c>
      <c r="B201" s="1020" t="s">
        <v>281</v>
      </c>
      <c r="C201" s="1021"/>
      <c r="D201" s="1022"/>
      <c r="E201" s="1005" t="s">
        <v>69</v>
      </c>
      <c r="F201" s="1020" t="s">
        <v>15</v>
      </c>
      <c r="G201" s="1021"/>
      <c r="H201" s="1021"/>
      <c r="I201" s="1021"/>
      <c r="J201" s="1022"/>
    </row>
    <row r="202" spans="1:10" ht="16.5" thickBot="1">
      <c r="A202" s="1006"/>
      <c r="B202" s="1070"/>
      <c r="C202" s="1032"/>
      <c r="D202" s="1033"/>
      <c r="E202" s="1006"/>
      <c r="F202" s="358" t="s">
        <v>17</v>
      </c>
      <c r="G202" s="359" t="s">
        <v>18</v>
      </c>
      <c r="H202" s="359" t="s">
        <v>19</v>
      </c>
      <c r="I202" s="360" t="s">
        <v>20</v>
      </c>
      <c r="J202" s="360" t="s">
        <v>21</v>
      </c>
    </row>
    <row r="203" spans="1:10" ht="52.5" customHeight="1">
      <c r="A203" s="226" t="s">
        <v>172</v>
      </c>
      <c r="B203" s="1059" t="s">
        <v>170</v>
      </c>
      <c r="C203" s="1059"/>
      <c r="D203" s="1059"/>
      <c r="E203" s="423" t="s">
        <v>173</v>
      </c>
      <c r="F203" s="426">
        <v>21000</v>
      </c>
      <c r="G203" s="427">
        <v>22000</v>
      </c>
      <c r="H203" s="428">
        <v>23000</v>
      </c>
      <c r="I203" s="428">
        <v>24000</v>
      </c>
      <c r="J203" s="429">
        <v>24000</v>
      </c>
    </row>
    <row r="206" ht="1.5" customHeight="1" thickBot="1"/>
    <row r="207" spans="1:12" ht="24" customHeight="1" thickBot="1">
      <c r="A207" s="283" t="s">
        <v>303</v>
      </c>
      <c r="B207" s="1071" t="s">
        <v>302</v>
      </c>
      <c r="C207" s="998"/>
      <c r="D207" s="998"/>
      <c r="E207" s="998"/>
      <c r="F207" s="998"/>
      <c r="G207" s="998"/>
      <c r="H207" s="998"/>
      <c r="I207" s="998"/>
      <c r="J207" s="998"/>
      <c r="K207" s="998"/>
      <c r="L207" s="993"/>
    </row>
    <row r="208" spans="1:12" ht="32.25" customHeight="1" thickBot="1">
      <c r="A208" s="278" t="s">
        <v>301</v>
      </c>
      <c r="B208" s="993" t="s">
        <v>414</v>
      </c>
      <c r="C208" s="994"/>
      <c r="D208" s="994"/>
      <c r="E208" s="994"/>
      <c r="F208" s="994"/>
      <c r="G208" s="994"/>
      <c r="H208" s="994"/>
      <c r="I208" s="994"/>
      <c r="J208" s="994"/>
      <c r="K208" s="994"/>
      <c r="L208" s="994"/>
    </row>
    <row r="209" spans="1:12" ht="28.5" customHeight="1" thickBot="1">
      <c r="A209" s="282" t="s">
        <v>299</v>
      </c>
      <c r="B209" s="993" t="s">
        <v>415</v>
      </c>
      <c r="C209" s="994"/>
      <c r="D209" s="994"/>
      <c r="E209" s="994"/>
      <c r="F209" s="994"/>
      <c r="G209" s="994"/>
      <c r="H209" s="994"/>
      <c r="I209" s="994"/>
      <c r="J209" s="994"/>
      <c r="K209" s="994"/>
      <c r="L209" s="994"/>
    </row>
    <row r="210" spans="1:12" ht="29.25" customHeight="1" thickBot="1">
      <c r="A210" s="281" t="s">
        <v>297</v>
      </c>
      <c r="B210" s="998" t="s">
        <v>416</v>
      </c>
      <c r="C210" s="998"/>
      <c r="D210" s="998"/>
      <c r="E210" s="998"/>
      <c r="F210" s="998"/>
      <c r="G210" s="998"/>
      <c r="H210" s="998"/>
      <c r="I210" s="998"/>
      <c r="J210" s="998"/>
      <c r="K210" s="998"/>
      <c r="L210" s="993"/>
    </row>
    <row r="211" spans="1:12" ht="32.25" customHeight="1" thickBot="1">
      <c r="A211" s="278" t="s">
        <v>295</v>
      </c>
      <c r="B211" s="343" t="s">
        <v>294</v>
      </c>
      <c r="C211" s="997" t="s">
        <v>293</v>
      </c>
      <c r="D211" s="993"/>
      <c r="E211" s="279"/>
      <c r="F211" s="997" t="s">
        <v>292</v>
      </c>
      <c r="G211" s="998"/>
      <c r="H211" s="998"/>
      <c r="I211" s="993"/>
      <c r="J211" s="998" t="s">
        <v>291</v>
      </c>
      <c r="K211" s="998"/>
      <c r="L211" s="998"/>
    </row>
    <row r="212" spans="1:12" ht="30.75" customHeight="1" thickBot="1">
      <c r="A212" s="278" t="s">
        <v>290</v>
      </c>
      <c r="B212" s="988" t="s">
        <v>417</v>
      </c>
      <c r="C212" s="989"/>
      <c r="D212" s="989"/>
      <c r="E212" s="989"/>
      <c r="F212" s="989"/>
      <c r="G212" s="989"/>
      <c r="H212" s="989"/>
      <c r="I212" s="989"/>
      <c r="J212" s="989"/>
      <c r="K212" s="989"/>
      <c r="L212" s="989"/>
    </row>
    <row r="213" spans="1:12" ht="48" thickBot="1">
      <c r="A213" s="278" t="s">
        <v>288</v>
      </c>
      <c r="B213" s="1003" t="s">
        <v>512</v>
      </c>
      <c r="C213" s="994"/>
      <c r="D213" s="994"/>
      <c r="E213" s="994"/>
      <c r="F213" s="994"/>
      <c r="G213" s="994"/>
      <c r="H213" s="994"/>
      <c r="I213" s="994"/>
      <c r="J213" s="994"/>
      <c r="K213" s="994"/>
      <c r="L213" s="994"/>
    </row>
    <row r="214" ht="16.5" customHeight="1"/>
    <row r="215" ht="20.25" customHeight="1">
      <c r="A215" s="277" t="s">
        <v>286</v>
      </c>
    </row>
    <row r="216" spans="1:12" ht="18.75" customHeight="1" thickBot="1">
      <c r="A216" s="265" t="s">
        <v>283</v>
      </c>
      <c r="L216" s="276" t="s">
        <v>285</v>
      </c>
    </row>
    <row r="217" spans="1:13" ht="27.75" customHeight="1">
      <c r="A217" s="1005" t="s">
        <v>278</v>
      </c>
      <c r="B217" s="1008" t="s">
        <v>262</v>
      </c>
      <c r="C217" s="1009"/>
      <c r="D217" s="1009"/>
      <c r="E217" s="275"/>
      <c r="F217" s="999" t="s">
        <v>261</v>
      </c>
      <c r="G217" s="999"/>
      <c r="H217" s="999"/>
      <c r="I217" s="1008" t="s">
        <v>260</v>
      </c>
      <c r="J217" s="1009"/>
      <c r="K217" s="1009"/>
      <c r="L217" s="1010"/>
      <c r="M217" s="273" t="s">
        <v>259</v>
      </c>
    </row>
    <row r="218" spans="1:13" ht="13.5" customHeight="1">
      <c r="A218" s="1006"/>
      <c r="B218" s="1011" t="s">
        <v>258</v>
      </c>
      <c r="C218" s="1008" t="s">
        <v>256</v>
      </c>
      <c r="D218" s="1009"/>
      <c r="E218" s="1010"/>
      <c r="F218" s="1011" t="s">
        <v>257</v>
      </c>
      <c r="G218" s="1008" t="s">
        <v>256</v>
      </c>
      <c r="H218" s="1014"/>
      <c r="I218" s="1011" t="s">
        <v>257</v>
      </c>
      <c r="J218" s="1015" t="s">
        <v>256</v>
      </c>
      <c r="K218" s="1016"/>
      <c r="L218" s="1017"/>
      <c r="M218" s="271"/>
    </row>
    <row r="219" spans="1:13" ht="79.5" thickBot="1">
      <c r="A219" s="1007"/>
      <c r="B219" s="1012"/>
      <c r="C219" s="274" t="s">
        <v>252</v>
      </c>
      <c r="D219" s="274" t="s">
        <v>277</v>
      </c>
      <c r="E219" s="274" t="s">
        <v>276</v>
      </c>
      <c r="F219" s="1013"/>
      <c r="G219" s="274" t="s">
        <v>275</v>
      </c>
      <c r="H219" s="274" t="s">
        <v>253</v>
      </c>
      <c r="I219" s="1013"/>
      <c r="J219" s="274" t="s">
        <v>252</v>
      </c>
      <c r="K219" s="274" t="s">
        <v>251</v>
      </c>
      <c r="L219" s="274" t="s">
        <v>274</v>
      </c>
      <c r="M219" s="267"/>
    </row>
    <row r="220" spans="1:17" ht="15.75">
      <c r="A220" s="274" t="s">
        <v>19</v>
      </c>
      <c r="B220" s="269">
        <f>C220+D220+E220</f>
        <v>93442.80000000002</v>
      </c>
      <c r="C220" s="268">
        <f>'прил 4-1'!G37</f>
        <v>73974.90000000001</v>
      </c>
      <c r="D220" s="268">
        <f>'прил 4-1'!H37</f>
        <v>19467.9</v>
      </c>
      <c r="E220" s="268"/>
      <c r="F220" s="268"/>
      <c r="G220" s="268"/>
      <c r="H220" s="268"/>
      <c r="I220" s="269">
        <f>J220+K220+L220</f>
        <v>29902.3</v>
      </c>
      <c r="J220" s="268">
        <f>'прил 4-2'!G37</f>
        <v>13442.4</v>
      </c>
      <c r="K220" s="268">
        <f>'прил 4-2'!H37</f>
        <v>13837.9</v>
      </c>
      <c r="L220" s="435">
        <f>'прил 4-2'!N37</f>
        <v>2622</v>
      </c>
      <c r="M220" s="266">
        <f>B220+F220+I220</f>
        <v>123345.10000000002</v>
      </c>
      <c r="Q220" s="257"/>
    </row>
    <row r="221" spans="1:17" ht="15.75">
      <c r="A221" s="274" t="s">
        <v>20</v>
      </c>
      <c r="B221" s="269">
        <f>C221+D221+E221</f>
        <v>93442.80000000002</v>
      </c>
      <c r="C221" s="268">
        <f>C220</f>
        <v>73974.90000000001</v>
      </c>
      <c r="D221" s="268">
        <f>D220</f>
        <v>19467.9</v>
      </c>
      <c r="E221" s="268"/>
      <c r="F221" s="268"/>
      <c r="G221" s="268"/>
      <c r="H221" s="268"/>
      <c r="I221" s="269">
        <f>J221+K221+L221</f>
        <v>29902.3</v>
      </c>
      <c r="J221" s="268">
        <f>J220</f>
        <v>13442.4</v>
      </c>
      <c r="K221" s="268">
        <f>K220</f>
        <v>13837.9</v>
      </c>
      <c r="L221" s="268">
        <f>L220</f>
        <v>2622</v>
      </c>
      <c r="M221" s="266">
        <f>B221+F221+I221</f>
        <v>123345.10000000002</v>
      </c>
      <c r="Q221" s="257"/>
    </row>
    <row r="222" spans="1:17" ht="15.75">
      <c r="A222" s="421" t="s">
        <v>490</v>
      </c>
      <c r="B222" s="269">
        <f>C222+D222+E222</f>
        <v>93442.80000000002</v>
      </c>
      <c r="C222" s="268">
        <f>C221</f>
        <v>73974.90000000001</v>
      </c>
      <c r="D222" s="268">
        <f>D221</f>
        <v>19467.9</v>
      </c>
      <c r="E222" s="268"/>
      <c r="F222" s="268"/>
      <c r="G222" s="268"/>
      <c r="H222" s="268"/>
      <c r="I222" s="269">
        <f>J222+K222+L222</f>
        <v>29902.3</v>
      </c>
      <c r="J222" s="268">
        <f>J221</f>
        <v>13442.4</v>
      </c>
      <c r="K222" s="268">
        <f>K221</f>
        <v>13837.9</v>
      </c>
      <c r="L222" s="268">
        <f>L221</f>
        <v>2622</v>
      </c>
      <c r="M222" s="266">
        <f>B222+F222+I222</f>
        <v>123345.10000000002</v>
      </c>
      <c r="Q222" s="257"/>
    </row>
    <row r="223" spans="2:17" ht="21.75" customHeight="1"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Q223" s="257"/>
    </row>
    <row r="224" ht="15.75">
      <c r="A224" s="265" t="s">
        <v>284</v>
      </c>
    </row>
    <row r="225" spans="1:4" ht="22.5" customHeight="1" thickBot="1">
      <c r="A225" s="265" t="s">
        <v>283</v>
      </c>
      <c r="B225" s="264"/>
      <c r="C225" s="264"/>
      <c r="D225" s="264"/>
    </row>
    <row r="226" spans="1:10" ht="16.5" customHeight="1">
      <c r="A226" s="1005" t="s">
        <v>282</v>
      </c>
      <c r="B226" s="1020" t="s">
        <v>281</v>
      </c>
      <c r="C226" s="1021"/>
      <c r="D226" s="1022"/>
      <c r="E226" s="1005" t="s">
        <v>69</v>
      </c>
      <c r="F226" s="1020" t="s">
        <v>15</v>
      </c>
      <c r="G226" s="1021"/>
      <c r="H226" s="1021"/>
      <c r="I226" s="1021"/>
      <c r="J226" s="1022"/>
    </row>
    <row r="227" spans="1:10" ht="16.5" thickBot="1">
      <c r="A227" s="1007"/>
      <c r="B227" s="1023"/>
      <c r="C227" s="1024"/>
      <c r="D227" s="1025"/>
      <c r="E227" s="1007"/>
      <c r="F227" s="358" t="s">
        <v>17</v>
      </c>
      <c r="G227" s="359" t="s">
        <v>18</v>
      </c>
      <c r="H227" s="359" t="s">
        <v>19</v>
      </c>
      <c r="I227" s="360" t="s">
        <v>20</v>
      </c>
      <c r="J227" s="360" t="s">
        <v>21</v>
      </c>
    </row>
    <row r="228" spans="1:10" ht="54" customHeight="1">
      <c r="A228" s="605" t="s">
        <v>234</v>
      </c>
      <c r="B228" s="1079" t="s">
        <v>68</v>
      </c>
      <c r="C228" s="1079"/>
      <c r="D228" s="1079"/>
      <c r="E228" s="361" t="s">
        <v>60</v>
      </c>
      <c r="F228" s="436">
        <v>0.03</v>
      </c>
      <c r="G228" s="436">
        <v>0.03</v>
      </c>
      <c r="H228" s="436">
        <v>0.05</v>
      </c>
      <c r="I228" s="436">
        <v>0.07</v>
      </c>
      <c r="J228" s="437">
        <v>0.09</v>
      </c>
    </row>
    <row r="229" spans="1:10" ht="123" customHeight="1">
      <c r="A229" s="605" t="s">
        <v>235</v>
      </c>
      <c r="B229" s="1079" t="s">
        <v>68</v>
      </c>
      <c r="C229" s="1079"/>
      <c r="D229" s="1079"/>
      <c r="E229" s="434" t="s">
        <v>60</v>
      </c>
      <c r="F229" s="436">
        <v>0.16</v>
      </c>
      <c r="G229" s="436">
        <v>0.22</v>
      </c>
      <c r="H229" s="436">
        <v>0.29</v>
      </c>
      <c r="I229" s="436">
        <v>0.36</v>
      </c>
      <c r="J229" s="437">
        <v>0.09</v>
      </c>
    </row>
    <row r="232" ht="1.5" customHeight="1" thickBot="1"/>
    <row r="233" spans="1:12" ht="49.5" customHeight="1" thickBot="1">
      <c r="A233" s="283" t="s">
        <v>303</v>
      </c>
      <c r="B233" s="1071" t="s">
        <v>302</v>
      </c>
      <c r="C233" s="998"/>
      <c r="D233" s="998"/>
      <c r="E233" s="998"/>
      <c r="F233" s="998"/>
      <c r="G233" s="998"/>
      <c r="H233" s="998"/>
      <c r="I233" s="998"/>
      <c r="J233" s="998"/>
      <c r="K233" s="998"/>
      <c r="L233" s="993"/>
    </row>
    <row r="234" spans="1:12" ht="32.25" customHeight="1" thickBot="1">
      <c r="A234" s="278" t="s">
        <v>301</v>
      </c>
      <c r="B234" s="993" t="s">
        <v>414</v>
      </c>
      <c r="C234" s="994"/>
      <c r="D234" s="994"/>
      <c r="E234" s="994"/>
      <c r="F234" s="994"/>
      <c r="G234" s="994"/>
      <c r="H234" s="994"/>
      <c r="I234" s="994"/>
      <c r="J234" s="994"/>
      <c r="K234" s="994"/>
      <c r="L234" s="994"/>
    </row>
    <row r="235" spans="1:12" ht="28.5" customHeight="1" thickBot="1">
      <c r="A235" s="282" t="s">
        <v>299</v>
      </c>
      <c r="B235" s="993" t="s">
        <v>509</v>
      </c>
      <c r="C235" s="994"/>
      <c r="D235" s="994"/>
      <c r="E235" s="994"/>
      <c r="F235" s="994"/>
      <c r="G235" s="994"/>
      <c r="H235" s="994"/>
      <c r="I235" s="994"/>
      <c r="J235" s="994"/>
      <c r="K235" s="994"/>
      <c r="L235" s="994"/>
    </row>
    <row r="236" spans="1:12" ht="29.25" customHeight="1" thickBot="1">
      <c r="A236" s="281" t="s">
        <v>297</v>
      </c>
      <c r="B236" s="998" t="s">
        <v>418</v>
      </c>
      <c r="C236" s="998"/>
      <c r="D236" s="998"/>
      <c r="E236" s="998"/>
      <c r="F236" s="998"/>
      <c r="G236" s="998"/>
      <c r="H236" s="998"/>
      <c r="I236" s="998"/>
      <c r="J236" s="998"/>
      <c r="K236" s="998"/>
      <c r="L236" s="993"/>
    </row>
    <row r="237" spans="1:12" ht="32.25" customHeight="1" thickBot="1">
      <c r="A237" s="278" t="s">
        <v>295</v>
      </c>
      <c r="B237" s="343" t="s">
        <v>294</v>
      </c>
      <c r="C237" s="997" t="s">
        <v>293</v>
      </c>
      <c r="D237" s="993"/>
      <c r="E237" s="279"/>
      <c r="F237" s="997" t="s">
        <v>292</v>
      </c>
      <c r="G237" s="998"/>
      <c r="H237" s="998"/>
      <c r="I237" s="993"/>
      <c r="J237" s="998" t="s">
        <v>291</v>
      </c>
      <c r="K237" s="998"/>
      <c r="L237" s="998"/>
    </row>
    <row r="238" spans="1:12" ht="30.75" customHeight="1" thickBot="1">
      <c r="A238" s="278" t="s">
        <v>290</v>
      </c>
      <c r="B238" s="988" t="s">
        <v>419</v>
      </c>
      <c r="C238" s="989"/>
      <c r="D238" s="989"/>
      <c r="E238" s="989"/>
      <c r="F238" s="989"/>
      <c r="G238" s="989"/>
      <c r="H238" s="989"/>
      <c r="I238" s="989"/>
      <c r="J238" s="989"/>
      <c r="K238" s="989"/>
      <c r="L238" s="989"/>
    </row>
    <row r="239" spans="1:12" ht="48" thickBot="1">
      <c r="A239" s="278" t="s">
        <v>288</v>
      </c>
      <c r="B239" s="1003" t="s">
        <v>420</v>
      </c>
      <c r="C239" s="994"/>
      <c r="D239" s="994"/>
      <c r="E239" s="994"/>
      <c r="F239" s="994"/>
      <c r="G239" s="994"/>
      <c r="H239" s="994"/>
      <c r="I239" s="994"/>
      <c r="J239" s="994"/>
      <c r="K239" s="994"/>
      <c r="L239" s="994"/>
    </row>
    <row r="240" ht="16.5" customHeight="1"/>
    <row r="241" ht="20.25" customHeight="1">
      <c r="A241" s="277" t="s">
        <v>286</v>
      </c>
    </row>
    <row r="242" spans="1:12" ht="18.75" customHeight="1" thickBot="1">
      <c r="A242" s="265" t="s">
        <v>283</v>
      </c>
      <c r="L242" s="276" t="s">
        <v>285</v>
      </c>
    </row>
    <row r="243" spans="1:13" ht="27.75" customHeight="1">
      <c r="A243" s="1005" t="s">
        <v>278</v>
      </c>
      <c r="B243" s="1008" t="s">
        <v>262</v>
      </c>
      <c r="C243" s="1009"/>
      <c r="D243" s="1009"/>
      <c r="E243" s="275"/>
      <c r="F243" s="999" t="s">
        <v>261</v>
      </c>
      <c r="G243" s="999"/>
      <c r="H243" s="999"/>
      <c r="I243" s="1008" t="s">
        <v>260</v>
      </c>
      <c r="J243" s="1009"/>
      <c r="K243" s="1009"/>
      <c r="L243" s="1010"/>
      <c r="M243" s="273" t="s">
        <v>259</v>
      </c>
    </row>
    <row r="244" spans="1:13" ht="13.5" customHeight="1">
      <c r="A244" s="1006"/>
      <c r="B244" s="1011" t="s">
        <v>258</v>
      </c>
      <c r="C244" s="1008" t="s">
        <v>256</v>
      </c>
      <c r="D244" s="1009"/>
      <c r="E244" s="1010"/>
      <c r="F244" s="1011" t="s">
        <v>257</v>
      </c>
      <c r="G244" s="1008" t="s">
        <v>256</v>
      </c>
      <c r="H244" s="1014"/>
      <c r="I244" s="1011" t="s">
        <v>257</v>
      </c>
      <c r="J244" s="1015" t="s">
        <v>256</v>
      </c>
      <c r="K244" s="1016"/>
      <c r="L244" s="1017"/>
      <c r="M244" s="271"/>
    </row>
    <row r="245" spans="1:13" ht="79.5" thickBot="1">
      <c r="A245" s="1007"/>
      <c r="B245" s="1012"/>
      <c r="C245" s="274" t="s">
        <v>252</v>
      </c>
      <c r="D245" s="274" t="s">
        <v>277</v>
      </c>
      <c r="E245" s="274" t="s">
        <v>276</v>
      </c>
      <c r="F245" s="1013"/>
      <c r="G245" s="274" t="s">
        <v>275</v>
      </c>
      <c r="H245" s="274" t="s">
        <v>253</v>
      </c>
      <c r="I245" s="1013"/>
      <c r="J245" s="274" t="s">
        <v>252</v>
      </c>
      <c r="K245" s="274" t="s">
        <v>251</v>
      </c>
      <c r="L245" s="274" t="s">
        <v>274</v>
      </c>
      <c r="M245" s="267"/>
    </row>
    <row r="246" spans="1:17" ht="15.75">
      <c r="A246" s="274" t="s">
        <v>19</v>
      </c>
      <c r="B246" s="269">
        <f>C246+D246+E246</f>
        <v>140575.7</v>
      </c>
      <c r="C246" s="268">
        <f>'прил 4-1'!G38</f>
        <v>96858.50000000001</v>
      </c>
      <c r="D246" s="268">
        <f>'прил 4-1'!H38</f>
        <v>43717.2</v>
      </c>
      <c r="E246" s="268"/>
      <c r="F246" s="268"/>
      <c r="G246" s="268"/>
      <c r="H246" s="268"/>
      <c r="I246" s="269">
        <f>J246+K246+L246</f>
        <v>133633.8</v>
      </c>
      <c r="J246" s="268">
        <f>'прил 4-2'!G38</f>
        <v>56997.2</v>
      </c>
      <c r="K246" s="268">
        <f>'прил 4-2'!H38</f>
        <v>63480.3</v>
      </c>
      <c r="L246" s="268">
        <f>'прил 4-2'!N38</f>
        <v>13156.3</v>
      </c>
      <c r="M246" s="266">
        <f>B246+F246+I246</f>
        <v>274209.5</v>
      </c>
      <c r="Q246" s="257"/>
    </row>
    <row r="247" spans="1:17" ht="15.75">
      <c r="A247" s="274" t="s">
        <v>20</v>
      </c>
      <c r="B247" s="269">
        <f>C247+D247+E247</f>
        <v>135714.40000000002</v>
      </c>
      <c r="C247" s="268">
        <f>C246</f>
        <v>96858.50000000001</v>
      </c>
      <c r="D247" s="268">
        <f>D246-4861.3</f>
        <v>38855.899999999994</v>
      </c>
      <c r="E247" s="268"/>
      <c r="F247" s="268"/>
      <c r="G247" s="268"/>
      <c r="H247" s="268"/>
      <c r="I247" s="269">
        <f>J247+K247+L247</f>
        <v>145176.8</v>
      </c>
      <c r="J247" s="268">
        <f>J246</f>
        <v>56997.2</v>
      </c>
      <c r="K247" s="268">
        <f>K246+11543</f>
        <v>75023.3</v>
      </c>
      <c r="L247" s="268">
        <f>L246</f>
        <v>13156.3</v>
      </c>
      <c r="M247" s="266">
        <f>B247+F247+I247</f>
        <v>280891.2</v>
      </c>
      <c r="N247" s="378"/>
      <c r="Q247" s="257"/>
    </row>
    <row r="248" spans="1:17" ht="15.75">
      <c r="A248" s="430" t="s">
        <v>21</v>
      </c>
      <c r="B248" s="269">
        <f>C248+D248+E248</f>
        <v>131045.20000000001</v>
      </c>
      <c r="C248" s="268">
        <f>C247</f>
        <v>96858.50000000001</v>
      </c>
      <c r="D248" s="268">
        <f>D247-4669.2</f>
        <v>34186.7</v>
      </c>
      <c r="E248" s="268"/>
      <c r="F248" s="268"/>
      <c r="G248" s="268"/>
      <c r="H248" s="268"/>
      <c r="I248" s="269">
        <f>J248+K248+L248</f>
        <v>149846</v>
      </c>
      <c r="J248" s="268">
        <f>J247</f>
        <v>56997.2</v>
      </c>
      <c r="K248" s="268">
        <f>K247+4669.2</f>
        <v>79692.5</v>
      </c>
      <c r="L248" s="268">
        <f>L247</f>
        <v>13156.3</v>
      </c>
      <c r="M248" s="266">
        <f>B248+F248+I248</f>
        <v>280891.2</v>
      </c>
      <c r="N248" s="378"/>
      <c r="Q248" s="257"/>
    </row>
    <row r="249" spans="2:12" ht="14.25" customHeight="1">
      <c r="B249" s="304"/>
      <c r="C249" s="304"/>
      <c r="D249" s="304"/>
      <c r="E249" s="304"/>
      <c r="F249" s="304"/>
      <c r="G249" s="304"/>
      <c r="H249" s="304"/>
      <c r="I249" s="304"/>
      <c r="J249" s="304"/>
      <c r="K249" s="304"/>
      <c r="L249" s="304"/>
    </row>
    <row r="250" ht="15.75">
      <c r="A250" s="265" t="s">
        <v>284</v>
      </c>
    </row>
    <row r="251" spans="1:4" ht="22.5" customHeight="1" thickBot="1">
      <c r="A251" s="265" t="s">
        <v>283</v>
      </c>
      <c r="B251" s="264"/>
      <c r="C251" s="264"/>
      <c r="D251" s="264"/>
    </row>
    <row r="252" spans="1:10" ht="16.5" customHeight="1">
      <c r="A252" s="1005" t="s">
        <v>282</v>
      </c>
      <c r="B252" s="1020" t="s">
        <v>281</v>
      </c>
      <c r="C252" s="1021"/>
      <c r="D252" s="1022"/>
      <c r="E252" s="1005" t="s">
        <v>69</v>
      </c>
      <c r="F252" s="1020" t="s">
        <v>15</v>
      </c>
      <c r="G252" s="1021"/>
      <c r="H252" s="1021"/>
      <c r="I252" s="1021"/>
      <c r="J252" s="1022"/>
    </row>
    <row r="253" spans="1:10" ht="16.5" thickBot="1">
      <c r="A253" s="1006"/>
      <c r="B253" s="1070"/>
      <c r="C253" s="1032"/>
      <c r="D253" s="1033"/>
      <c r="E253" s="1006"/>
      <c r="F253" s="353" t="s">
        <v>17</v>
      </c>
      <c r="G253" s="359" t="s">
        <v>18</v>
      </c>
      <c r="H253" s="359" t="s">
        <v>19</v>
      </c>
      <c r="I253" s="360" t="s">
        <v>20</v>
      </c>
      <c r="J253" s="360" t="s">
        <v>21</v>
      </c>
    </row>
    <row r="254" spans="1:10" ht="56.25">
      <c r="A254" s="439" t="s">
        <v>180</v>
      </c>
      <c r="B254" s="1076" t="s">
        <v>68</v>
      </c>
      <c r="C254" s="1077"/>
      <c r="D254" s="1078"/>
      <c r="E254" s="419" t="s">
        <v>114</v>
      </c>
      <c r="F254" s="419">
        <v>16500</v>
      </c>
      <c r="G254" s="419">
        <v>17650</v>
      </c>
      <c r="H254" s="419">
        <v>18500</v>
      </c>
      <c r="I254" s="419">
        <v>19500</v>
      </c>
      <c r="J254" s="419">
        <v>19500</v>
      </c>
    </row>
    <row r="256" ht="16.5" thickBot="1"/>
    <row r="257" spans="1:12" ht="24" customHeight="1" thickBot="1">
      <c r="A257" s="283" t="s">
        <v>303</v>
      </c>
      <c r="B257" s="1071" t="s">
        <v>302</v>
      </c>
      <c r="C257" s="998"/>
      <c r="D257" s="998"/>
      <c r="E257" s="998"/>
      <c r="F257" s="998"/>
      <c r="G257" s="998"/>
      <c r="H257" s="998"/>
      <c r="I257" s="998"/>
      <c r="J257" s="998"/>
      <c r="K257" s="998"/>
      <c r="L257" s="993"/>
    </row>
    <row r="258" spans="1:12" ht="32.25" customHeight="1" thickBot="1">
      <c r="A258" s="278" t="s">
        <v>301</v>
      </c>
      <c r="B258" s="993" t="s">
        <v>421</v>
      </c>
      <c r="C258" s="994"/>
      <c r="D258" s="994"/>
      <c r="E258" s="994"/>
      <c r="F258" s="994"/>
      <c r="G258" s="994"/>
      <c r="H258" s="994"/>
      <c r="I258" s="994"/>
      <c r="J258" s="994"/>
      <c r="K258" s="994"/>
      <c r="L258" s="994"/>
    </row>
    <row r="259" spans="1:12" ht="28.5" customHeight="1" thickBot="1">
      <c r="A259" s="282" t="s">
        <v>299</v>
      </c>
      <c r="B259" s="993" t="s">
        <v>422</v>
      </c>
      <c r="C259" s="994"/>
      <c r="D259" s="994"/>
      <c r="E259" s="994"/>
      <c r="F259" s="994"/>
      <c r="G259" s="994"/>
      <c r="H259" s="994"/>
      <c r="I259" s="994"/>
      <c r="J259" s="994"/>
      <c r="K259" s="994"/>
      <c r="L259" s="994"/>
    </row>
    <row r="260" spans="1:12" ht="29.25" customHeight="1" thickBot="1">
      <c r="A260" s="281" t="s">
        <v>297</v>
      </c>
      <c r="B260" s="998" t="s">
        <v>423</v>
      </c>
      <c r="C260" s="998"/>
      <c r="D260" s="998"/>
      <c r="E260" s="998"/>
      <c r="F260" s="998"/>
      <c r="G260" s="998"/>
      <c r="H260" s="998"/>
      <c r="I260" s="998"/>
      <c r="J260" s="998"/>
      <c r="K260" s="998"/>
      <c r="L260" s="993"/>
    </row>
    <row r="261" spans="1:12" ht="32.25" customHeight="1" thickBot="1">
      <c r="A261" s="278" t="s">
        <v>295</v>
      </c>
      <c r="B261" s="343" t="s">
        <v>294</v>
      </c>
      <c r="C261" s="997" t="s">
        <v>293</v>
      </c>
      <c r="D261" s="993"/>
      <c r="E261" s="279"/>
      <c r="F261" s="997" t="s">
        <v>292</v>
      </c>
      <c r="G261" s="998"/>
      <c r="H261" s="998"/>
      <c r="I261" s="993"/>
      <c r="J261" s="998" t="s">
        <v>291</v>
      </c>
      <c r="K261" s="998"/>
      <c r="L261" s="998"/>
    </row>
    <row r="262" spans="1:12" ht="42.75" customHeight="1" thickBot="1">
      <c r="A262" s="278" t="s">
        <v>290</v>
      </c>
      <c r="B262" s="993" t="s">
        <v>182</v>
      </c>
      <c r="C262" s="994"/>
      <c r="D262" s="994"/>
      <c r="E262" s="994"/>
      <c r="F262" s="994"/>
      <c r="G262" s="994"/>
      <c r="H262" s="994"/>
      <c r="I262" s="994"/>
      <c r="J262" s="994"/>
      <c r="K262" s="994"/>
      <c r="L262" s="994"/>
    </row>
    <row r="263" spans="1:12" ht="48" thickBot="1">
      <c r="A263" s="278" t="s">
        <v>288</v>
      </c>
      <c r="B263" s="998" t="s">
        <v>423</v>
      </c>
      <c r="C263" s="998"/>
      <c r="D263" s="998"/>
      <c r="E263" s="998"/>
      <c r="F263" s="998"/>
      <c r="G263" s="998"/>
      <c r="H263" s="998"/>
      <c r="I263" s="998"/>
      <c r="J263" s="998"/>
      <c r="K263" s="998"/>
      <c r="L263" s="993"/>
    </row>
    <row r="264" ht="16.5" customHeight="1"/>
    <row r="265" ht="20.25" customHeight="1">
      <c r="A265" s="277" t="s">
        <v>286</v>
      </c>
    </row>
    <row r="266" spans="1:12" ht="18.75" customHeight="1" thickBot="1">
      <c r="A266" s="265" t="s">
        <v>283</v>
      </c>
      <c r="L266" s="276" t="s">
        <v>285</v>
      </c>
    </row>
    <row r="267" spans="1:13" ht="27.75" customHeight="1">
      <c r="A267" s="1005" t="s">
        <v>278</v>
      </c>
      <c r="B267" s="1008" t="s">
        <v>262</v>
      </c>
      <c r="C267" s="1009"/>
      <c r="D267" s="1009"/>
      <c r="E267" s="275"/>
      <c r="F267" s="999" t="s">
        <v>261</v>
      </c>
      <c r="G267" s="999"/>
      <c r="H267" s="999"/>
      <c r="I267" s="1008" t="s">
        <v>260</v>
      </c>
      <c r="J267" s="1009"/>
      <c r="K267" s="1009"/>
      <c r="L267" s="1010"/>
      <c r="M267" s="273" t="s">
        <v>259</v>
      </c>
    </row>
    <row r="268" spans="1:13" ht="13.5" customHeight="1">
      <c r="A268" s="1006"/>
      <c r="B268" s="1011" t="s">
        <v>258</v>
      </c>
      <c r="C268" s="1008" t="s">
        <v>256</v>
      </c>
      <c r="D268" s="1009"/>
      <c r="E268" s="1010"/>
      <c r="F268" s="1011" t="s">
        <v>257</v>
      </c>
      <c r="G268" s="1008" t="s">
        <v>256</v>
      </c>
      <c r="H268" s="1014"/>
      <c r="I268" s="1011" t="s">
        <v>257</v>
      </c>
      <c r="J268" s="1015" t="s">
        <v>256</v>
      </c>
      <c r="K268" s="1016"/>
      <c r="L268" s="1017"/>
      <c r="M268" s="271"/>
    </row>
    <row r="269" spans="1:13" ht="78.75">
      <c r="A269" s="1006"/>
      <c r="B269" s="1075"/>
      <c r="C269" s="431" t="s">
        <v>252</v>
      </c>
      <c r="D269" s="431" t="s">
        <v>277</v>
      </c>
      <c r="E269" s="431" t="s">
        <v>276</v>
      </c>
      <c r="F269" s="1074"/>
      <c r="G269" s="431" t="s">
        <v>275</v>
      </c>
      <c r="H269" s="431" t="s">
        <v>253</v>
      </c>
      <c r="I269" s="1074"/>
      <c r="J269" s="431" t="s">
        <v>252</v>
      </c>
      <c r="K269" s="431" t="s">
        <v>251</v>
      </c>
      <c r="L269" s="431" t="s">
        <v>274</v>
      </c>
      <c r="M269" s="384"/>
    </row>
    <row r="270" spans="1:17" ht="15.75">
      <c r="A270" s="430" t="s">
        <v>19</v>
      </c>
      <c r="B270" s="269">
        <f>D270</f>
        <v>646397.2</v>
      </c>
      <c r="C270" s="268"/>
      <c r="D270" s="268">
        <f>'прил 4-1'!H39</f>
        <v>646397.2</v>
      </c>
      <c r="E270" s="268"/>
      <c r="F270" s="268"/>
      <c r="G270" s="268"/>
      <c r="H270" s="268"/>
      <c r="I270" s="269">
        <f>J270+K270+L270</f>
        <v>0</v>
      </c>
      <c r="J270" s="268"/>
      <c r="K270" s="268"/>
      <c r="L270" s="268"/>
      <c r="M270" s="266">
        <f>B270+F270+I270</f>
        <v>646397.2</v>
      </c>
      <c r="Q270" s="257"/>
    </row>
    <row r="271" spans="1:17" ht="15.75">
      <c r="A271" s="430" t="s">
        <v>20</v>
      </c>
      <c r="B271" s="269">
        <f>D271</f>
        <v>646397.2</v>
      </c>
      <c r="C271" s="268"/>
      <c r="D271" s="268">
        <f>D270</f>
        <v>646397.2</v>
      </c>
      <c r="E271" s="268"/>
      <c r="F271" s="268"/>
      <c r="G271" s="268"/>
      <c r="H271" s="268"/>
      <c r="I271" s="269">
        <f>J271+K271+L271</f>
        <v>0</v>
      </c>
      <c r="J271" s="268"/>
      <c r="K271" s="268"/>
      <c r="L271" s="268"/>
      <c r="M271" s="266">
        <f>B271+F271+I271</f>
        <v>646397.2</v>
      </c>
      <c r="Q271" s="257"/>
    </row>
    <row r="272" spans="1:17" ht="15.75">
      <c r="A272" s="430" t="s">
        <v>21</v>
      </c>
      <c r="B272" s="269">
        <f>D272</f>
        <v>646397.2</v>
      </c>
      <c r="C272" s="268"/>
      <c r="D272" s="268">
        <f>D271</f>
        <v>646397.2</v>
      </c>
      <c r="E272" s="268"/>
      <c r="F272" s="268"/>
      <c r="G272" s="268"/>
      <c r="H272" s="268"/>
      <c r="I272" s="269">
        <f>J272+K272+L272</f>
        <v>0</v>
      </c>
      <c r="J272" s="268"/>
      <c r="K272" s="268"/>
      <c r="L272" s="268"/>
      <c r="M272" s="266">
        <f>B272+F272+I272</f>
        <v>646397.2</v>
      </c>
      <c r="Q272" s="257"/>
    </row>
    <row r="273" spans="2:12" ht="18" customHeight="1">
      <c r="B273" s="304"/>
      <c r="C273" s="304"/>
      <c r="D273" s="304"/>
      <c r="E273" s="304"/>
      <c r="F273" s="304"/>
      <c r="G273" s="304"/>
      <c r="H273" s="304"/>
      <c r="I273" s="304"/>
      <c r="J273" s="304"/>
      <c r="K273" s="304"/>
      <c r="L273" s="304"/>
    </row>
    <row r="274" ht="15.75">
      <c r="A274" s="265" t="s">
        <v>284</v>
      </c>
    </row>
    <row r="275" spans="1:4" ht="22.5" customHeight="1" thickBot="1">
      <c r="A275" s="265" t="s">
        <v>283</v>
      </c>
      <c r="B275" s="264"/>
      <c r="C275" s="264"/>
      <c r="D275" s="264"/>
    </row>
    <row r="276" spans="1:10" ht="16.5" customHeight="1">
      <c r="A276" s="1005" t="s">
        <v>282</v>
      </c>
      <c r="B276" s="1020" t="s">
        <v>281</v>
      </c>
      <c r="C276" s="1021"/>
      <c r="D276" s="1022"/>
      <c r="E276" s="1005" t="s">
        <v>69</v>
      </c>
      <c r="F276" s="1020" t="s">
        <v>15</v>
      </c>
      <c r="G276" s="1021"/>
      <c r="H276" s="1021"/>
      <c r="I276" s="1021"/>
      <c r="J276" s="1022"/>
    </row>
    <row r="277" spans="1:10" ht="16.5" thickBot="1">
      <c r="A277" s="1007"/>
      <c r="B277" s="1023"/>
      <c r="C277" s="1024"/>
      <c r="D277" s="1025"/>
      <c r="E277" s="1007"/>
      <c r="F277" s="358" t="s">
        <v>17</v>
      </c>
      <c r="G277" s="359" t="s">
        <v>18</v>
      </c>
      <c r="H277" s="359" t="s">
        <v>19</v>
      </c>
      <c r="I277" s="360" t="s">
        <v>20</v>
      </c>
      <c r="J277" s="360" t="s">
        <v>21</v>
      </c>
    </row>
    <row r="278" spans="1:10" ht="72.75" customHeight="1" thickBot="1">
      <c r="A278" s="439" t="s">
        <v>232</v>
      </c>
      <c r="B278" s="1073" t="s">
        <v>73</v>
      </c>
      <c r="C278" s="1073"/>
      <c r="D278" s="1073"/>
      <c r="E278" s="329" t="s">
        <v>114</v>
      </c>
      <c r="F278" s="445">
        <v>1200</v>
      </c>
      <c r="G278" s="446">
        <v>1200</v>
      </c>
      <c r="H278" s="447">
        <v>1200</v>
      </c>
      <c r="I278" s="447">
        <v>1200</v>
      </c>
      <c r="J278" s="448">
        <v>1200</v>
      </c>
    </row>
    <row r="279" spans="1:10" ht="112.5">
      <c r="A279" s="439" t="s">
        <v>184</v>
      </c>
      <c r="B279" s="1073" t="s">
        <v>73</v>
      </c>
      <c r="C279" s="1073"/>
      <c r="D279" s="1073"/>
      <c r="E279" s="433" t="s">
        <v>60</v>
      </c>
      <c r="F279" s="449">
        <v>0.95</v>
      </c>
      <c r="G279" s="450">
        <v>0.95</v>
      </c>
      <c r="H279" s="451">
        <v>0.95</v>
      </c>
      <c r="I279" s="451">
        <v>0.95</v>
      </c>
      <c r="J279" s="452">
        <v>0.95</v>
      </c>
    </row>
    <row r="280" ht="16.5" thickBot="1"/>
    <row r="281" spans="1:12" ht="24" customHeight="1" thickBot="1">
      <c r="A281" s="283" t="s">
        <v>303</v>
      </c>
      <c r="B281" s="1071" t="s">
        <v>302</v>
      </c>
      <c r="C281" s="998"/>
      <c r="D281" s="998"/>
      <c r="E281" s="998"/>
      <c r="F281" s="998"/>
      <c r="G281" s="998"/>
      <c r="H281" s="998"/>
      <c r="I281" s="998"/>
      <c r="J281" s="998"/>
      <c r="K281" s="998"/>
      <c r="L281" s="993"/>
    </row>
    <row r="282" spans="1:12" ht="32.25" customHeight="1" thickBot="1">
      <c r="A282" s="278" t="s">
        <v>301</v>
      </c>
      <c r="B282" s="993" t="s">
        <v>414</v>
      </c>
      <c r="C282" s="994"/>
      <c r="D282" s="994"/>
      <c r="E282" s="994"/>
      <c r="F282" s="994"/>
      <c r="G282" s="994"/>
      <c r="H282" s="994"/>
      <c r="I282" s="994"/>
      <c r="J282" s="994"/>
      <c r="K282" s="994"/>
      <c r="L282" s="994"/>
    </row>
    <row r="283" spans="1:12" ht="28.5" customHeight="1" thickBot="1">
      <c r="A283" s="282" t="s">
        <v>299</v>
      </c>
      <c r="B283" s="993" t="s">
        <v>424</v>
      </c>
      <c r="C283" s="994"/>
      <c r="D283" s="994"/>
      <c r="E283" s="994"/>
      <c r="F283" s="994"/>
      <c r="G283" s="994"/>
      <c r="H283" s="994"/>
      <c r="I283" s="994"/>
      <c r="J283" s="994"/>
      <c r="K283" s="994"/>
      <c r="L283" s="994"/>
    </row>
    <row r="284" spans="1:12" ht="29.25" customHeight="1" thickBot="1">
      <c r="A284" s="281" t="s">
        <v>297</v>
      </c>
      <c r="B284" s="998" t="s">
        <v>158</v>
      </c>
      <c r="C284" s="998"/>
      <c r="D284" s="998"/>
      <c r="E284" s="998"/>
      <c r="F284" s="998"/>
      <c r="G284" s="998"/>
      <c r="H284" s="998"/>
      <c r="I284" s="998"/>
      <c r="J284" s="998"/>
      <c r="K284" s="998"/>
      <c r="L284" s="993"/>
    </row>
    <row r="285" spans="1:12" ht="32.25" customHeight="1" thickBot="1">
      <c r="A285" s="278" t="s">
        <v>295</v>
      </c>
      <c r="B285" s="343" t="s">
        <v>294</v>
      </c>
      <c r="C285" s="997" t="s">
        <v>293</v>
      </c>
      <c r="D285" s="993"/>
      <c r="E285" s="279"/>
      <c r="F285" s="997" t="s">
        <v>292</v>
      </c>
      <c r="G285" s="998"/>
      <c r="H285" s="998"/>
      <c r="I285" s="993"/>
      <c r="J285" s="998" t="s">
        <v>291</v>
      </c>
      <c r="K285" s="998"/>
      <c r="L285" s="998"/>
    </row>
    <row r="286" spans="1:12" ht="49.5" customHeight="1" thickBot="1">
      <c r="A286" s="278" t="s">
        <v>290</v>
      </c>
      <c r="B286" s="988" t="s">
        <v>425</v>
      </c>
      <c r="C286" s="989"/>
      <c r="D286" s="989"/>
      <c r="E286" s="989"/>
      <c r="F286" s="989"/>
      <c r="G286" s="989"/>
      <c r="H286" s="989"/>
      <c r="I286" s="989"/>
      <c r="J286" s="989"/>
      <c r="K286" s="989"/>
      <c r="L286" s="989"/>
    </row>
    <row r="287" spans="1:12" ht="56.25" customHeight="1" thickBot="1">
      <c r="A287" s="278" t="s">
        <v>288</v>
      </c>
      <c r="B287" s="1003" t="s">
        <v>522</v>
      </c>
      <c r="C287" s="994"/>
      <c r="D287" s="994"/>
      <c r="E287" s="994"/>
      <c r="F287" s="994"/>
      <c r="G287" s="994"/>
      <c r="H287" s="994"/>
      <c r="I287" s="994"/>
      <c r="J287" s="994"/>
      <c r="K287" s="994"/>
      <c r="L287" s="994"/>
    </row>
    <row r="288" ht="16.5" customHeight="1"/>
    <row r="289" ht="20.25" customHeight="1">
      <c r="A289" s="277" t="s">
        <v>286</v>
      </c>
    </row>
    <row r="290" spans="1:12" ht="18.75" customHeight="1" thickBot="1">
      <c r="A290" s="265" t="s">
        <v>283</v>
      </c>
      <c r="L290" s="276" t="s">
        <v>285</v>
      </c>
    </row>
    <row r="291" spans="1:13" ht="27.75" customHeight="1">
      <c r="A291" s="1005" t="s">
        <v>278</v>
      </c>
      <c r="B291" s="1008" t="s">
        <v>262</v>
      </c>
      <c r="C291" s="1009"/>
      <c r="D291" s="1009"/>
      <c r="E291" s="275"/>
      <c r="F291" s="999" t="s">
        <v>261</v>
      </c>
      <c r="G291" s="999"/>
      <c r="H291" s="999"/>
      <c r="I291" s="1008" t="s">
        <v>260</v>
      </c>
      <c r="J291" s="1009"/>
      <c r="K291" s="1009"/>
      <c r="L291" s="1010"/>
      <c r="M291" s="273" t="s">
        <v>259</v>
      </c>
    </row>
    <row r="292" spans="1:13" ht="13.5" customHeight="1">
      <c r="A292" s="1006"/>
      <c r="B292" s="1011" t="s">
        <v>258</v>
      </c>
      <c r="C292" s="1008" t="s">
        <v>256</v>
      </c>
      <c r="D292" s="1009"/>
      <c r="E292" s="1010"/>
      <c r="F292" s="1011" t="s">
        <v>257</v>
      </c>
      <c r="G292" s="1008" t="s">
        <v>256</v>
      </c>
      <c r="H292" s="1014"/>
      <c r="I292" s="1011" t="s">
        <v>257</v>
      </c>
      <c r="J292" s="1015" t="s">
        <v>256</v>
      </c>
      <c r="K292" s="1016"/>
      <c r="L292" s="1017"/>
      <c r="M292" s="271"/>
    </row>
    <row r="293" spans="1:13" ht="79.5" thickBot="1">
      <c r="A293" s="1007"/>
      <c r="B293" s="1012"/>
      <c r="C293" s="274" t="s">
        <v>252</v>
      </c>
      <c r="D293" s="274" t="s">
        <v>277</v>
      </c>
      <c r="E293" s="274" t="s">
        <v>276</v>
      </c>
      <c r="F293" s="1013"/>
      <c r="G293" s="274" t="s">
        <v>275</v>
      </c>
      <c r="H293" s="274" t="s">
        <v>253</v>
      </c>
      <c r="I293" s="1013"/>
      <c r="J293" s="274" t="s">
        <v>252</v>
      </c>
      <c r="K293" s="274" t="s">
        <v>251</v>
      </c>
      <c r="L293" s="274" t="s">
        <v>274</v>
      </c>
      <c r="M293" s="267"/>
    </row>
    <row r="294" spans="1:13" ht="15.75">
      <c r="A294" s="274" t="s">
        <v>19</v>
      </c>
      <c r="B294" s="269">
        <f>C294+D294+E294</f>
        <v>128100</v>
      </c>
      <c r="C294" s="268"/>
      <c r="D294" s="268">
        <f>'прил 4-1'!H40</f>
        <v>128100</v>
      </c>
      <c r="E294" s="268"/>
      <c r="F294" s="268"/>
      <c r="G294" s="268"/>
      <c r="H294" s="268"/>
      <c r="I294" s="269">
        <f>J294+K294+L294</f>
        <v>0</v>
      </c>
      <c r="J294" s="268"/>
      <c r="K294" s="268"/>
      <c r="L294" s="268"/>
      <c r="M294" s="266">
        <f>B294+F294+I294</f>
        <v>128100</v>
      </c>
    </row>
    <row r="295" spans="1:13" ht="15.75">
      <c r="A295" s="274" t="s">
        <v>20</v>
      </c>
      <c r="B295" s="269">
        <f>C295+D295+E295</f>
        <v>134505</v>
      </c>
      <c r="C295" s="268"/>
      <c r="D295" s="268">
        <v>134505</v>
      </c>
      <c r="E295" s="268"/>
      <c r="F295" s="268"/>
      <c r="G295" s="268"/>
      <c r="H295" s="268"/>
      <c r="I295" s="269">
        <f>J295+K295+L295</f>
        <v>0</v>
      </c>
      <c r="J295" s="268"/>
      <c r="K295" s="268"/>
      <c r="L295" s="268"/>
      <c r="M295" s="266">
        <f>B295+F295+I295</f>
        <v>134505</v>
      </c>
    </row>
    <row r="296" spans="1:13" ht="15.75">
      <c r="A296" s="430" t="s">
        <v>21</v>
      </c>
      <c r="B296" s="269">
        <f>C296+D296+E296</f>
        <v>142575.3</v>
      </c>
      <c r="C296" s="268"/>
      <c r="D296" s="268">
        <v>142575.3</v>
      </c>
      <c r="E296" s="268"/>
      <c r="F296" s="268"/>
      <c r="G296" s="268"/>
      <c r="H296" s="268"/>
      <c r="I296" s="269">
        <f>J296+K296+L296</f>
        <v>0</v>
      </c>
      <c r="J296" s="268"/>
      <c r="K296" s="268"/>
      <c r="L296" s="268"/>
      <c r="M296" s="266">
        <f>B296+F296+I296</f>
        <v>142575.3</v>
      </c>
    </row>
    <row r="297" spans="2:12" ht="18" customHeight="1">
      <c r="B297" s="304"/>
      <c r="C297" s="304"/>
      <c r="D297" s="304"/>
      <c r="E297" s="304"/>
      <c r="F297" s="304"/>
      <c r="G297" s="304"/>
      <c r="H297" s="304"/>
      <c r="I297" s="304"/>
      <c r="J297" s="304"/>
      <c r="K297" s="304"/>
      <c r="L297" s="304"/>
    </row>
    <row r="298" ht="15.75">
      <c r="A298" s="265" t="s">
        <v>284</v>
      </c>
    </row>
    <row r="299" spans="1:4" ht="22.5" customHeight="1" thickBot="1">
      <c r="A299" s="265" t="s">
        <v>283</v>
      </c>
      <c r="B299" s="264"/>
      <c r="C299" s="264"/>
      <c r="D299" s="264"/>
    </row>
    <row r="300" spans="1:10" ht="16.5" customHeight="1">
      <c r="A300" s="1005" t="s">
        <v>282</v>
      </c>
      <c r="B300" s="1020" t="s">
        <v>281</v>
      </c>
      <c r="C300" s="1021"/>
      <c r="D300" s="1022"/>
      <c r="E300" s="1005" t="s">
        <v>69</v>
      </c>
      <c r="F300" s="1020" t="s">
        <v>15</v>
      </c>
      <c r="G300" s="1021"/>
      <c r="H300" s="1021"/>
      <c r="I300" s="1021"/>
      <c r="J300" s="1022"/>
    </row>
    <row r="301" spans="1:10" ht="15.75">
      <c r="A301" s="1006"/>
      <c r="B301" s="1070"/>
      <c r="C301" s="1032"/>
      <c r="D301" s="1033"/>
      <c r="E301" s="1006"/>
      <c r="F301" s="353" t="s">
        <v>17</v>
      </c>
      <c r="G301" s="431" t="s">
        <v>18</v>
      </c>
      <c r="H301" s="431" t="s">
        <v>19</v>
      </c>
      <c r="I301" s="431" t="s">
        <v>20</v>
      </c>
      <c r="J301" s="431" t="s">
        <v>21</v>
      </c>
    </row>
    <row r="302" spans="1:10" ht="47.25" customHeight="1">
      <c r="A302" s="226" t="s">
        <v>188</v>
      </c>
      <c r="B302" s="1059" t="s">
        <v>499</v>
      </c>
      <c r="C302" s="1059"/>
      <c r="D302" s="1059"/>
      <c r="E302" s="432" t="s">
        <v>114</v>
      </c>
      <c r="F302" s="440">
        <v>21139</v>
      </c>
      <c r="G302" s="441">
        <v>22000</v>
      </c>
      <c r="H302" s="442">
        <v>23000</v>
      </c>
      <c r="I302" s="442">
        <v>25000</v>
      </c>
      <c r="J302" s="443">
        <v>25000</v>
      </c>
    </row>
    <row r="304" ht="16.5" thickBot="1"/>
    <row r="305" spans="1:12" ht="32.25" thickBot="1">
      <c r="A305" s="283" t="s">
        <v>303</v>
      </c>
      <c r="B305" s="1071" t="s">
        <v>302</v>
      </c>
      <c r="C305" s="998"/>
      <c r="D305" s="998"/>
      <c r="E305" s="998"/>
      <c r="F305" s="998"/>
      <c r="G305" s="998"/>
      <c r="H305" s="998"/>
      <c r="I305" s="998"/>
      <c r="J305" s="998"/>
      <c r="K305" s="998"/>
      <c r="L305" s="993"/>
    </row>
    <row r="306" spans="1:12" ht="32.25" customHeight="1" thickBot="1">
      <c r="A306" s="278" t="s">
        <v>301</v>
      </c>
      <c r="B306" s="993" t="s">
        <v>414</v>
      </c>
      <c r="C306" s="994"/>
      <c r="D306" s="994"/>
      <c r="E306" s="994"/>
      <c r="F306" s="994"/>
      <c r="G306" s="994"/>
      <c r="H306" s="994"/>
      <c r="I306" s="994"/>
      <c r="J306" s="994"/>
      <c r="K306" s="994"/>
      <c r="L306" s="994"/>
    </row>
    <row r="307" spans="1:12" ht="28.5" customHeight="1" thickBot="1">
      <c r="A307" s="282" t="s">
        <v>299</v>
      </c>
      <c r="B307" s="993" t="s">
        <v>426</v>
      </c>
      <c r="C307" s="994"/>
      <c r="D307" s="994"/>
      <c r="E307" s="994"/>
      <c r="F307" s="994"/>
      <c r="G307" s="994"/>
      <c r="H307" s="994"/>
      <c r="I307" s="994"/>
      <c r="J307" s="994"/>
      <c r="K307" s="994"/>
      <c r="L307" s="994"/>
    </row>
    <row r="308" spans="1:12" ht="29.25" customHeight="1" thickBot="1">
      <c r="A308" s="281" t="s">
        <v>297</v>
      </c>
      <c r="B308" s="998" t="s">
        <v>427</v>
      </c>
      <c r="C308" s="998"/>
      <c r="D308" s="998"/>
      <c r="E308" s="998"/>
      <c r="F308" s="998"/>
      <c r="G308" s="998"/>
      <c r="H308" s="998"/>
      <c r="I308" s="998"/>
      <c r="J308" s="998"/>
      <c r="K308" s="998"/>
      <c r="L308" s="993"/>
    </row>
    <row r="309" spans="1:12" ht="32.25" customHeight="1" thickBot="1">
      <c r="A309" s="278" t="s">
        <v>295</v>
      </c>
      <c r="B309" s="343" t="s">
        <v>294</v>
      </c>
      <c r="C309" s="997" t="s">
        <v>293</v>
      </c>
      <c r="D309" s="993"/>
      <c r="E309" s="279"/>
      <c r="F309" s="997" t="s">
        <v>292</v>
      </c>
      <c r="G309" s="998"/>
      <c r="H309" s="998"/>
      <c r="I309" s="993"/>
      <c r="J309" s="998" t="s">
        <v>291</v>
      </c>
      <c r="K309" s="998"/>
      <c r="L309" s="998"/>
    </row>
    <row r="310" spans="1:12" ht="32.25" thickBot="1">
      <c r="A310" s="278" t="s">
        <v>290</v>
      </c>
      <c r="B310" s="988" t="s">
        <v>524</v>
      </c>
      <c r="C310" s="989"/>
      <c r="D310" s="989"/>
      <c r="E310" s="989"/>
      <c r="F310" s="989"/>
      <c r="G310" s="989"/>
      <c r="H310" s="989"/>
      <c r="I310" s="989"/>
      <c r="J310" s="989"/>
      <c r="K310" s="989"/>
      <c r="L310" s="989"/>
    </row>
    <row r="311" spans="1:12" ht="48" thickBot="1">
      <c r="A311" s="278" t="s">
        <v>288</v>
      </c>
      <c r="B311" s="1003" t="s">
        <v>523</v>
      </c>
      <c r="C311" s="994"/>
      <c r="D311" s="994"/>
      <c r="E311" s="994"/>
      <c r="F311" s="994"/>
      <c r="G311" s="994"/>
      <c r="H311" s="994"/>
      <c r="I311" s="994"/>
      <c r="J311" s="994"/>
      <c r="K311" s="994"/>
      <c r="L311" s="994"/>
    </row>
    <row r="312" ht="16.5" customHeight="1"/>
    <row r="313" ht="20.25" customHeight="1">
      <c r="A313" s="277" t="s">
        <v>286</v>
      </c>
    </row>
    <row r="314" spans="1:12" ht="18.75" customHeight="1" thickBot="1">
      <c r="A314" s="265" t="s">
        <v>283</v>
      </c>
      <c r="L314" s="276" t="s">
        <v>285</v>
      </c>
    </row>
    <row r="315" spans="1:13" ht="27.75" customHeight="1">
      <c r="A315" s="1005" t="s">
        <v>278</v>
      </c>
      <c r="B315" s="1008" t="s">
        <v>262</v>
      </c>
      <c r="C315" s="1009"/>
      <c r="D315" s="1009"/>
      <c r="E315" s="275"/>
      <c r="F315" s="999" t="s">
        <v>261</v>
      </c>
      <c r="G315" s="999"/>
      <c r="H315" s="999"/>
      <c r="I315" s="1008" t="s">
        <v>260</v>
      </c>
      <c r="J315" s="1009"/>
      <c r="K315" s="1009"/>
      <c r="L315" s="1010"/>
      <c r="M315" s="273" t="s">
        <v>259</v>
      </c>
    </row>
    <row r="316" spans="1:13" ht="13.5" customHeight="1">
      <c r="A316" s="1006"/>
      <c r="B316" s="1011" t="s">
        <v>258</v>
      </c>
      <c r="C316" s="1008" t="s">
        <v>256</v>
      </c>
      <c r="D316" s="1009"/>
      <c r="E316" s="1010"/>
      <c r="F316" s="1011" t="s">
        <v>257</v>
      </c>
      <c r="G316" s="1008" t="s">
        <v>256</v>
      </c>
      <c r="H316" s="1014"/>
      <c r="I316" s="1011" t="s">
        <v>257</v>
      </c>
      <c r="J316" s="1015" t="s">
        <v>256</v>
      </c>
      <c r="K316" s="1016"/>
      <c r="L316" s="1017"/>
      <c r="M316" s="271"/>
    </row>
    <row r="317" spans="1:13" ht="79.5" thickBot="1">
      <c r="A317" s="1007"/>
      <c r="B317" s="1012"/>
      <c r="C317" s="274" t="s">
        <v>252</v>
      </c>
      <c r="D317" s="274" t="s">
        <v>277</v>
      </c>
      <c r="E317" s="274" t="s">
        <v>276</v>
      </c>
      <c r="F317" s="1013"/>
      <c r="G317" s="274" t="s">
        <v>275</v>
      </c>
      <c r="H317" s="274" t="s">
        <v>253</v>
      </c>
      <c r="I317" s="1013"/>
      <c r="J317" s="274" t="s">
        <v>252</v>
      </c>
      <c r="K317" s="274" t="s">
        <v>251</v>
      </c>
      <c r="L317" s="274" t="s">
        <v>274</v>
      </c>
      <c r="M317" s="267"/>
    </row>
    <row r="318" spans="1:16" ht="15.75">
      <c r="A318" s="274" t="s">
        <v>19</v>
      </c>
      <c r="B318" s="269">
        <f>C318+D318+E318</f>
        <v>83558.8</v>
      </c>
      <c r="C318" s="268">
        <f>'прил 4-1'!G41</f>
        <v>72442.2</v>
      </c>
      <c r="D318" s="529">
        <f>'прил 4-1'!H41</f>
        <v>11116.6</v>
      </c>
      <c r="E318" s="268"/>
      <c r="F318" s="268"/>
      <c r="G318" s="268"/>
      <c r="H318" s="268"/>
      <c r="I318" s="269">
        <f>J318+K318+L318</f>
        <v>7420.6</v>
      </c>
      <c r="J318" s="268">
        <f>'прил 4-2'!G41</f>
        <v>2837.4</v>
      </c>
      <c r="K318" s="268">
        <f>'прил 4-2'!H41</f>
        <v>3283.2</v>
      </c>
      <c r="L318" s="268">
        <f>'прил 4-2'!N41</f>
        <v>1300</v>
      </c>
      <c r="M318" s="438">
        <f>B318+I318</f>
        <v>90979.40000000001</v>
      </c>
      <c r="P318" s="257"/>
    </row>
    <row r="319" spans="1:16" ht="15.75">
      <c r="A319" s="430" t="s">
        <v>20</v>
      </c>
      <c r="B319" s="269">
        <f>C319+D319+E319</f>
        <v>83558.8</v>
      </c>
      <c r="C319" s="268">
        <f>C318</f>
        <v>72442.2</v>
      </c>
      <c r="D319" s="268">
        <f>D318</f>
        <v>11116.6</v>
      </c>
      <c r="E319" s="268"/>
      <c r="F319" s="268"/>
      <c r="G319" s="268"/>
      <c r="H319" s="268"/>
      <c r="I319" s="269">
        <f>J319+K319+L319</f>
        <v>7420.6</v>
      </c>
      <c r="J319" s="268">
        <f>J318</f>
        <v>2837.4</v>
      </c>
      <c r="K319" s="268">
        <f>K318</f>
        <v>3283.2</v>
      </c>
      <c r="L319" s="268">
        <f>L318</f>
        <v>1300</v>
      </c>
      <c r="M319" s="438">
        <f>B319+I319</f>
        <v>90979.40000000001</v>
      </c>
      <c r="P319" s="257"/>
    </row>
    <row r="320" spans="1:16" ht="15.75">
      <c r="A320" s="430" t="s">
        <v>21</v>
      </c>
      <c r="B320" s="269">
        <f>C320+D320+E320</f>
        <v>83558.8</v>
      </c>
      <c r="C320" s="268">
        <f>C319</f>
        <v>72442.2</v>
      </c>
      <c r="D320" s="268">
        <f>D319</f>
        <v>11116.6</v>
      </c>
      <c r="E320" s="268"/>
      <c r="F320" s="268"/>
      <c r="G320" s="268"/>
      <c r="H320" s="268"/>
      <c r="I320" s="269">
        <f>J320+K320+L320</f>
        <v>7420.6</v>
      </c>
      <c r="J320" s="268">
        <f>J319</f>
        <v>2837.4</v>
      </c>
      <c r="K320" s="268">
        <f>K319</f>
        <v>3283.2</v>
      </c>
      <c r="L320" s="268">
        <f>L319</f>
        <v>1300</v>
      </c>
      <c r="M320" s="438">
        <f>B320+I320</f>
        <v>90979.40000000001</v>
      </c>
      <c r="P320" s="257"/>
    </row>
    <row r="321" spans="2:13" ht="28.5" customHeight="1">
      <c r="B321" s="304"/>
      <c r="C321" s="304"/>
      <c r="D321" s="304"/>
      <c r="E321" s="304"/>
      <c r="F321" s="304"/>
      <c r="G321" s="304"/>
      <c r="H321" s="304"/>
      <c r="I321" s="304"/>
      <c r="J321" s="304"/>
      <c r="K321" s="304"/>
      <c r="L321" s="304"/>
      <c r="M321" s="363"/>
    </row>
    <row r="322" spans="1:13" ht="15.75">
      <c r="A322" s="265" t="s">
        <v>284</v>
      </c>
      <c r="M322" s="363"/>
    </row>
    <row r="323" spans="1:4" ht="22.5" customHeight="1" thickBot="1">
      <c r="A323" s="265" t="s">
        <v>283</v>
      </c>
      <c r="B323" s="264"/>
      <c r="C323" s="264"/>
      <c r="D323" s="264"/>
    </row>
    <row r="324" spans="1:10" ht="16.5" customHeight="1">
      <c r="A324" s="1005" t="s">
        <v>282</v>
      </c>
      <c r="B324" s="1020" t="s">
        <v>281</v>
      </c>
      <c r="C324" s="1021"/>
      <c r="D324" s="1022"/>
      <c r="E324" s="1020" t="s">
        <v>69</v>
      </c>
      <c r="F324" s="999" t="s">
        <v>15</v>
      </c>
      <c r="G324" s="999"/>
      <c r="H324" s="999"/>
      <c r="I324" s="999"/>
      <c r="J324" s="999"/>
    </row>
    <row r="325" spans="1:10" ht="15.75">
      <c r="A325" s="1006"/>
      <c r="B325" s="1070"/>
      <c r="C325" s="1032"/>
      <c r="D325" s="1033"/>
      <c r="E325" s="1070"/>
      <c r="F325" s="346" t="s">
        <v>17</v>
      </c>
      <c r="G325" s="430" t="s">
        <v>18</v>
      </c>
      <c r="H325" s="430" t="s">
        <v>19</v>
      </c>
      <c r="I325" s="430" t="s">
        <v>20</v>
      </c>
      <c r="J325" s="430" t="s">
        <v>21</v>
      </c>
    </row>
    <row r="326" spans="1:10" ht="15.75" hidden="1">
      <c r="A326" s="335"/>
      <c r="B326" s="1072"/>
      <c r="C326" s="1072"/>
      <c r="D326" s="1072"/>
      <c r="E326" s="457"/>
      <c r="F326" s="459"/>
      <c r="G326" s="459"/>
      <c r="H326" s="459"/>
      <c r="I326" s="459"/>
      <c r="J326" s="459"/>
    </row>
    <row r="327" spans="1:11" ht="96">
      <c r="A327" s="454" t="s">
        <v>192</v>
      </c>
      <c r="B327" s="1059" t="s">
        <v>499</v>
      </c>
      <c r="C327" s="1059"/>
      <c r="D327" s="1059"/>
      <c r="E327" s="458" t="s">
        <v>114</v>
      </c>
      <c r="F327" s="440">
        <v>16700</v>
      </c>
      <c r="G327" s="440">
        <v>17200</v>
      </c>
      <c r="H327" s="440">
        <v>17700</v>
      </c>
      <c r="I327" s="440">
        <v>18200</v>
      </c>
      <c r="J327" s="440">
        <v>18700</v>
      </c>
      <c r="K327" s="453"/>
    </row>
    <row r="328" spans="1:11" ht="108">
      <c r="A328" s="454" t="s">
        <v>193</v>
      </c>
      <c r="B328" s="1059" t="s">
        <v>499</v>
      </c>
      <c r="C328" s="1059"/>
      <c r="D328" s="1059"/>
      <c r="E328" s="458" t="s">
        <v>106</v>
      </c>
      <c r="F328" s="445">
        <v>95</v>
      </c>
      <c r="G328" s="445">
        <v>95</v>
      </c>
      <c r="H328" s="445">
        <v>95</v>
      </c>
      <c r="I328" s="445">
        <v>95</v>
      </c>
      <c r="J328" s="445">
        <v>95</v>
      </c>
      <c r="K328" s="456"/>
    </row>
    <row r="329" ht="16.5" thickBot="1"/>
    <row r="330" spans="1:12" ht="39.75" customHeight="1" thickBot="1">
      <c r="A330" s="283" t="s">
        <v>303</v>
      </c>
      <c r="B330" s="1071" t="s">
        <v>302</v>
      </c>
      <c r="C330" s="998"/>
      <c r="D330" s="998"/>
      <c r="E330" s="998"/>
      <c r="F330" s="998"/>
      <c r="G330" s="998"/>
      <c r="H330" s="998"/>
      <c r="I330" s="998"/>
      <c r="J330" s="998"/>
      <c r="K330" s="998"/>
      <c r="L330" s="993"/>
    </row>
    <row r="331" spans="1:12" ht="32.25" customHeight="1" thickBot="1">
      <c r="A331" s="278" t="s">
        <v>301</v>
      </c>
      <c r="B331" s="993" t="s">
        <v>428</v>
      </c>
      <c r="C331" s="994"/>
      <c r="D331" s="994"/>
      <c r="E331" s="994"/>
      <c r="F331" s="994"/>
      <c r="G331" s="994"/>
      <c r="H331" s="994"/>
      <c r="I331" s="994"/>
      <c r="J331" s="994"/>
      <c r="K331" s="994"/>
      <c r="L331" s="994"/>
    </row>
    <row r="332" spans="1:12" ht="28.5" customHeight="1" thickBot="1">
      <c r="A332" s="282" t="s">
        <v>299</v>
      </c>
      <c r="B332" s="993" t="s">
        <v>429</v>
      </c>
      <c r="C332" s="994"/>
      <c r="D332" s="994"/>
      <c r="E332" s="994"/>
      <c r="F332" s="994"/>
      <c r="G332" s="994"/>
      <c r="H332" s="994"/>
      <c r="I332" s="994"/>
      <c r="J332" s="994"/>
      <c r="K332" s="994"/>
      <c r="L332" s="994"/>
    </row>
    <row r="333" spans="1:12" ht="29.25" customHeight="1" thickBot="1">
      <c r="A333" s="281" t="s">
        <v>297</v>
      </c>
      <c r="B333" s="998" t="s">
        <v>73</v>
      </c>
      <c r="C333" s="998"/>
      <c r="D333" s="998"/>
      <c r="E333" s="998"/>
      <c r="F333" s="998"/>
      <c r="G333" s="998"/>
      <c r="H333" s="998"/>
      <c r="I333" s="998"/>
      <c r="J333" s="998"/>
      <c r="K333" s="998"/>
      <c r="L333" s="993"/>
    </row>
    <row r="334" spans="1:12" ht="32.25" customHeight="1" thickBot="1">
      <c r="A334" s="278" t="s">
        <v>295</v>
      </c>
      <c r="B334" s="343" t="s">
        <v>294</v>
      </c>
      <c r="C334" s="997" t="s">
        <v>293</v>
      </c>
      <c r="D334" s="993"/>
      <c r="E334" s="279"/>
      <c r="F334" s="997" t="s">
        <v>292</v>
      </c>
      <c r="G334" s="998"/>
      <c r="H334" s="998"/>
      <c r="I334" s="993"/>
      <c r="J334" s="998" t="s">
        <v>291</v>
      </c>
      <c r="K334" s="998"/>
      <c r="L334" s="998"/>
    </row>
    <row r="335" spans="1:12" ht="44.25" customHeight="1" thickBot="1">
      <c r="A335" s="278" t="s">
        <v>290</v>
      </c>
      <c r="B335" s="988" t="s">
        <v>430</v>
      </c>
      <c r="C335" s="989"/>
      <c r="D335" s="989"/>
      <c r="E335" s="989"/>
      <c r="F335" s="989"/>
      <c r="G335" s="989"/>
      <c r="H335" s="989"/>
      <c r="I335" s="989"/>
      <c r="J335" s="989"/>
      <c r="K335" s="989"/>
      <c r="L335" s="989"/>
    </row>
    <row r="336" spans="1:12" ht="46.5" customHeight="1" thickBot="1">
      <c r="A336" s="278" t="s">
        <v>288</v>
      </c>
      <c r="B336" s="1003" t="s">
        <v>525</v>
      </c>
      <c r="C336" s="994"/>
      <c r="D336" s="994"/>
      <c r="E336" s="994"/>
      <c r="F336" s="994"/>
      <c r="G336" s="994"/>
      <c r="H336" s="994"/>
      <c r="I336" s="994"/>
      <c r="J336" s="994"/>
      <c r="K336" s="994"/>
      <c r="L336" s="994"/>
    </row>
    <row r="337" ht="16.5" customHeight="1"/>
    <row r="338" ht="20.25" customHeight="1">
      <c r="A338" s="277" t="s">
        <v>286</v>
      </c>
    </row>
    <row r="339" spans="1:12" ht="18.75" customHeight="1" thickBot="1">
      <c r="A339" s="265" t="s">
        <v>283</v>
      </c>
      <c r="L339" s="276" t="s">
        <v>285</v>
      </c>
    </row>
    <row r="340" spans="1:13" ht="27.75" customHeight="1">
      <c r="A340" s="1005" t="s">
        <v>278</v>
      </c>
      <c r="B340" s="1008" t="s">
        <v>262</v>
      </c>
      <c r="C340" s="1009"/>
      <c r="D340" s="1009"/>
      <c r="E340" s="275"/>
      <c r="F340" s="999" t="s">
        <v>261</v>
      </c>
      <c r="G340" s="999"/>
      <c r="H340" s="999"/>
      <c r="I340" s="1008" t="s">
        <v>260</v>
      </c>
      <c r="J340" s="1009"/>
      <c r="K340" s="1009"/>
      <c r="L340" s="1010"/>
      <c r="M340" s="273" t="s">
        <v>259</v>
      </c>
    </row>
    <row r="341" spans="1:13" ht="13.5" customHeight="1">
      <c r="A341" s="1006"/>
      <c r="B341" s="1011" t="s">
        <v>258</v>
      </c>
      <c r="C341" s="1008" t="s">
        <v>256</v>
      </c>
      <c r="D341" s="1009"/>
      <c r="E341" s="1010"/>
      <c r="F341" s="1011" t="s">
        <v>257</v>
      </c>
      <c r="G341" s="1008" t="s">
        <v>256</v>
      </c>
      <c r="H341" s="1014"/>
      <c r="I341" s="1011" t="s">
        <v>257</v>
      </c>
      <c r="J341" s="1015" t="s">
        <v>256</v>
      </c>
      <c r="K341" s="1016"/>
      <c r="L341" s="1017"/>
      <c r="M341" s="271"/>
    </row>
    <row r="342" spans="1:13" ht="79.5" thickBot="1">
      <c r="A342" s="1007"/>
      <c r="B342" s="1012"/>
      <c r="C342" s="274" t="s">
        <v>252</v>
      </c>
      <c r="D342" s="274" t="s">
        <v>277</v>
      </c>
      <c r="E342" s="274" t="s">
        <v>276</v>
      </c>
      <c r="F342" s="1013"/>
      <c r="G342" s="274" t="s">
        <v>275</v>
      </c>
      <c r="H342" s="274" t="s">
        <v>253</v>
      </c>
      <c r="I342" s="1013"/>
      <c r="J342" s="274" t="s">
        <v>252</v>
      </c>
      <c r="K342" s="274" t="s">
        <v>251</v>
      </c>
      <c r="L342" s="274" t="s">
        <v>274</v>
      </c>
      <c r="M342" s="267"/>
    </row>
    <row r="343" spans="1:13" ht="15.75">
      <c r="A343" s="274" t="s">
        <v>19</v>
      </c>
      <c r="B343" s="269">
        <f>C343+D343+E343</f>
        <v>30000</v>
      </c>
      <c r="C343" s="268"/>
      <c r="D343" s="268">
        <f>'прил 4-1'!H42</f>
        <v>30000</v>
      </c>
      <c r="E343" s="268"/>
      <c r="F343" s="268"/>
      <c r="G343" s="268"/>
      <c r="H343" s="268"/>
      <c r="I343" s="269">
        <f>J343+K343+L343</f>
        <v>0</v>
      </c>
      <c r="J343" s="268"/>
      <c r="K343" s="268"/>
      <c r="L343" s="268"/>
      <c r="M343" s="269">
        <f>B343+I343</f>
        <v>30000</v>
      </c>
    </row>
    <row r="344" spans="1:13" ht="15.75">
      <c r="A344" s="274" t="s">
        <v>20</v>
      </c>
      <c r="B344" s="269">
        <f>C344+D344+E344</f>
        <v>30000</v>
      </c>
      <c r="C344" s="268"/>
      <c r="D344" s="268">
        <f>D343</f>
        <v>30000</v>
      </c>
      <c r="E344" s="268"/>
      <c r="F344" s="268"/>
      <c r="G344" s="268"/>
      <c r="H344" s="268"/>
      <c r="I344" s="269">
        <f>J344+K344+L344</f>
        <v>0</v>
      </c>
      <c r="J344" s="268"/>
      <c r="K344" s="268"/>
      <c r="L344" s="268"/>
      <c r="M344" s="269">
        <f>B344+I344</f>
        <v>30000</v>
      </c>
    </row>
    <row r="345" spans="1:13" ht="15.75">
      <c r="A345" s="430" t="s">
        <v>21</v>
      </c>
      <c r="B345" s="269">
        <f>C345+D345+E345</f>
        <v>30000</v>
      </c>
      <c r="C345" s="268"/>
      <c r="D345" s="268">
        <f>D344</f>
        <v>30000</v>
      </c>
      <c r="E345" s="268"/>
      <c r="F345" s="268"/>
      <c r="G345" s="268"/>
      <c r="H345" s="268"/>
      <c r="I345" s="269">
        <f>J345+K345+L345</f>
        <v>0</v>
      </c>
      <c r="J345" s="268"/>
      <c r="K345" s="268"/>
      <c r="L345" s="268"/>
      <c r="M345" s="269">
        <f>B345+I345</f>
        <v>30000</v>
      </c>
    </row>
    <row r="346" spans="2:12" ht="24" customHeight="1">
      <c r="B346" s="304"/>
      <c r="C346" s="304"/>
      <c r="D346" s="304"/>
      <c r="E346" s="304"/>
      <c r="F346" s="304"/>
      <c r="G346" s="304"/>
      <c r="H346" s="304"/>
      <c r="I346" s="304"/>
      <c r="J346" s="304"/>
      <c r="K346" s="304"/>
      <c r="L346" s="304"/>
    </row>
    <row r="347" ht="15.75">
      <c r="A347" s="265" t="s">
        <v>284</v>
      </c>
    </row>
    <row r="348" spans="1:4" ht="22.5" customHeight="1" thickBot="1">
      <c r="A348" s="265" t="s">
        <v>283</v>
      </c>
      <c r="B348" s="264"/>
      <c r="C348" s="264"/>
      <c r="D348" s="264"/>
    </row>
    <row r="349" spans="1:10" ht="16.5" customHeight="1">
      <c r="A349" s="1005" t="s">
        <v>282</v>
      </c>
      <c r="B349" s="1020" t="s">
        <v>281</v>
      </c>
      <c r="C349" s="1021"/>
      <c r="D349" s="1022"/>
      <c r="E349" s="1005" t="s">
        <v>69</v>
      </c>
      <c r="F349" s="1020" t="s">
        <v>15</v>
      </c>
      <c r="G349" s="1021"/>
      <c r="H349" s="1021"/>
      <c r="I349" s="1021"/>
      <c r="J349" s="1022"/>
    </row>
    <row r="350" spans="1:10" ht="16.5" thickBot="1">
      <c r="A350" s="1007"/>
      <c r="B350" s="1023"/>
      <c r="C350" s="1024"/>
      <c r="D350" s="1025"/>
      <c r="E350" s="1007"/>
      <c r="F350" s="353" t="s">
        <v>17</v>
      </c>
      <c r="G350" s="431" t="s">
        <v>18</v>
      </c>
      <c r="H350" s="431" t="s">
        <v>19</v>
      </c>
      <c r="I350" s="431" t="s">
        <v>20</v>
      </c>
      <c r="J350" s="272" t="s">
        <v>21</v>
      </c>
    </row>
    <row r="351" spans="1:11" ht="61.5" customHeight="1">
      <c r="A351" s="347" t="s">
        <v>196</v>
      </c>
      <c r="B351" s="1059" t="s">
        <v>499</v>
      </c>
      <c r="C351" s="1059"/>
      <c r="D351" s="1059"/>
      <c r="E351" s="425" t="s">
        <v>106</v>
      </c>
      <c r="F351" s="460">
        <v>0.1</v>
      </c>
      <c r="G351" s="460">
        <v>0.1</v>
      </c>
      <c r="H351" s="460">
        <v>0.2</v>
      </c>
      <c r="I351" s="460">
        <v>0.3</v>
      </c>
      <c r="J351" s="460">
        <v>0.4</v>
      </c>
      <c r="K351" s="461"/>
    </row>
    <row r="353" ht="16.5" thickBot="1"/>
    <row r="354" spans="1:12" ht="24" customHeight="1" thickBot="1">
      <c r="A354" s="283" t="s">
        <v>303</v>
      </c>
      <c r="B354" s="1071" t="s">
        <v>302</v>
      </c>
      <c r="C354" s="998"/>
      <c r="D354" s="998"/>
      <c r="E354" s="998"/>
      <c r="F354" s="998"/>
      <c r="G354" s="998"/>
      <c r="H354" s="998"/>
      <c r="I354" s="998"/>
      <c r="J354" s="998"/>
      <c r="K354" s="998"/>
      <c r="L354" s="993"/>
    </row>
    <row r="355" spans="1:12" ht="32.25" customHeight="1" thickBot="1">
      <c r="A355" s="278" t="s">
        <v>301</v>
      </c>
      <c r="B355" s="993" t="s">
        <v>414</v>
      </c>
      <c r="C355" s="994"/>
      <c r="D355" s="994"/>
      <c r="E355" s="994"/>
      <c r="F355" s="994"/>
      <c r="G355" s="994"/>
      <c r="H355" s="994"/>
      <c r="I355" s="994"/>
      <c r="J355" s="994"/>
      <c r="K355" s="994"/>
      <c r="L355" s="994"/>
    </row>
    <row r="356" spans="1:12" ht="28.5" customHeight="1" thickBot="1">
      <c r="A356" s="282" t="s">
        <v>299</v>
      </c>
      <c r="B356" s="993" t="s">
        <v>510</v>
      </c>
      <c r="C356" s="994"/>
      <c r="D356" s="994"/>
      <c r="E356" s="994"/>
      <c r="F356" s="994"/>
      <c r="G356" s="994"/>
      <c r="H356" s="994"/>
      <c r="I356" s="994"/>
      <c r="J356" s="994"/>
      <c r="K356" s="994"/>
      <c r="L356" s="994"/>
    </row>
    <row r="357" spans="1:12" ht="29.25" customHeight="1" thickBot="1">
      <c r="A357" s="281" t="s">
        <v>297</v>
      </c>
      <c r="B357" s="998" t="s">
        <v>431</v>
      </c>
      <c r="C357" s="998"/>
      <c r="D357" s="998"/>
      <c r="E357" s="998"/>
      <c r="F357" s="998"/>
      <c r="G357" s="998"/>
      <c r="H357" s="998"/>
      <c r="I357" s="998"/>
      <c r="J357" s="998"/>
      <c r="K357" s="998"/>
      <c r="L357" s="993"/>
    </row>
    <row r="358" spans="1:12" ht="32.25" customHeight="1" thickBot="1">
      <c r="A358" s="278" t="s">
        <v>295</v>
      </c>
      <c r="B358" s="343" t="s">
        <v>294</v>
      </c>
      <c r="C358" s="997" t="s">
        <v>293</v>
      </c>
      <c r="D358" s="993"/>
      <c r="E358" s="279"/>
      <c r="F358" s="997" t="s">
        <v>292</v>
      </c>
      <c r="G358" s="998"/>
      <c r="H358" s="998"/>
      <c r="I358" s="993"/>
      <c r="J358" s="998" t="s">
        <v>291</v>
      </c>
      <c r="K358" s="998"/>
      <c r="L358" s="998"/>
    </row>
    <row r="359" spans="1:12" ht="30.75" customHeight="1" thickBot="1">
      <c r="A359" s="278" t="s">
        <v>290</v>
      </c>
      <c r="B359" s="988" t="s">
        <v>516</v>
      </c>
      <c r="C359" s="989"/>
      <c r="D359" s="989"/>
      <c r="E359" s="989"/>
      <c r="F359" s="989"/>
      <c r="G359" s="989"/>
      <c r="H359" s="989"/>
      <c r="I359" s="989"/>
      <c r="J359" s="989"/>
      <c r="K359" s="989"/>
      <c r="L359" s="989"/>
    </row>
    <row r="360" spans="1:12" ht="48" thickBot="1">
      <c r="A360" s="278" t="s">
        <v>288</v>
      </c>
      <c r="B360" s="1003" t="s">
        <v>432</v>
      </c>
      <c r="C360" s="994"/>
      <c r="D360" s="994"/>
      <c r="E360" s="994"/>
      <c r="F360" s="994"/>
      <c r="G360" s="994"/>
      <c r="H360" s="994"/>
      <c r="I360" s="994"/>
      <c r="J360" s="994"/>
      <c r="K360" s="994"/>
      <c r="L360" s="994"/>
    </row>
    <row r="361" ht="16.5" customHeight="1"/>
    <row r="362" ht="20.25" customHeight="1">
      <c r="A362" s="277" t="s">
        <v>286</v>
      </c>
    </row>
    <row r="363" spans="1:12" ht="18.75" customHeight="1" thickBot="1">
      <c r="A363" s="265" t="s">
        <v>283</v>
      </c>
      <c r="L363" s="276" t="s">
        <v>285</v>
      </c>
    </row>
    <row r="364" spans="1:13" ht="27.75" customHeight="1">
      <c r="A364" s="1005" t="s">
        <v>278</v>
      </c>
      <c r="B364" s="1008" t="s">
        <v>262</v>
      </c>
      <c r="C364" s="1009"/>
      <c r="D364" s="1009"/>
      <c r="E364" s="275"/>
      <c r="F364" s="999" t="s">
        <v>261</v>
      </c>
      <c r="G364" s="999"/>
      <c r="H364" s="999"/>
      <c r="I364" s="1008" t="s">
        <v>260</v>
      </c>
      <c r="J364" s="1009"/>
      <c r="K364" s="1009"/>
      <c r="L364" s="1010"/>
      <c r="M364" s="273" t="s">
        <v>259</v>
      </c>
    </row>
    <row r="365" spans="1:13" ht="13.5" customHeight="1">
      <c r="A365" s="1006"/>
      <c r="B365" s="1011" t="s">
        <v>258</v>
      </c>
      <c r="C365" s="1008" t="s">
        <v>256</v>
      </c>
      <c r="D365" s="1009"/>
      <c r="E365" s="1010"/>
      <c r="F365" s="1011" t="s">
        <v>257</v>
      </c>
      <c r="G365" s="1008" t="s">
        <v>256</v>
      </c>
      <c r="H365" s="1014"/>
      <c r="I365" s="1011" t="s">
        <v>257</v>
      </c>
      <c r="J365" s="1015" t="s">
        <v>256</v>
      </c>
      <c r="K365" s="1016"/>
      <c r="L365" s="1017"/>
      <c r="M365" s="271"/>
    </row>
    <row r="366" spans="1:13" ht="79.5" thickBot="1">
      <c r="A366" s="1007"/>
      <c r="B366" s="1012"/>
      <c r="C366" s="274" t="s">
        <v>252</v>
      </c>
      <c r="D366" s="274" t="s">
        <v>277</v>
      </c>
      <c r="E366" s="274" t="s">
        <v>276</v>
      </c>
      <c r="F366" s="1013"/>
      <c r="G366" s="274" t="s">
        <v>275</v>
      </c>
      <c r="H366" s="274" t="s">
        <v>253</v>
      </c>
      <c r="I366" s="1013"/>
      <c r="J366" s="274" t="s">
        <v>252</v>
      </c>
      <c r="K366" s="274" t="s">
        <v>251</v>
      </c>
      <c r="L366" s="274" t="s">
        <v>274</v>
      </c>
      <c r="M366" s="267"/>
    </row>
    <row r="367" spans="1:13" ht="15.75">
      <c r="A367" s="274" t="s">
        <v>19</v>
      </c>
      <c r="B367" s="269">
        <f>C367+D367+E367</f>
        <v>4300</v>
      </c>
      <c r="C367" s="268"/>
      <c r="D367" s="268">
        <f>'прил 4-1'!H43</f>
        <v>4300</v>
      </c>
      <c r="E367" s="268"/>
      <c r="F367" s="268"/>
      <c r="G367" s="268"/>
      <c r="H367" s="268"/>
      <c r="I367" s="269">
        <f>J367+K367+L367</f>
        <v>0</v>
      </c>
      <c r="J367" s="268"/>
      <c r="K367" s="268"/>
      <c r="L367" s="268"/>
      <c r="M367" s="269">
        <f>B367+I367</f>
        <v>4300</v>
      </c>
    </row>
    <row r="368" spans="1:13" ht="15.75">
      <c r="A368" s="430" t="s">
        <v>20</v>
      </c>
      <c r="B368" s="269">
        <f>C368+D368+E368</f>
        <v>4300</v>
      </c>
      <c r="C368" s="268"/>
      <c r="D368" s="268">
        <f>D367</f>
        <v>4300</v>
      </c>
      <c r="E368" s="268"/>
      <c r="F368" s="268"/>
      <c r="G368" s="268"/>
      <c r="H368" s="268"/>
      <c r="I368" s="269">
        <f>J368+K368+L368</f>
        <v>0</v>
      </c>
      <c r="J368" s="268"/>
      <c r="K368" s="268"/>
      <c r="L368" s="268"/>
      <c r="M368" s="269">
        <f>B368+I368</f>
        <v>4300</v>
      </c>
    </row>
    <row r="369" spans="1:13" ht="15.75">
      <c r="A369" s="430" t="s">
        <v>21</v>
      </c>
      <c r="B369" s="269">
        <f>C369+D369+E369</f>
        <v>4300</v>
      </c>
      <c r="C369" s="268"/>
      <c r="D369" s="268">
        <f>D368</f>
        <v>4300</v>
      </c>
      <c r="E369" s="268"/>
      <c r="F369" s="268"/>
      <c r="G369" s="268"/>
      <c r="H369" s="268"/>
      <c r="I369" s="269">
        <f>J369+K369+L369</f>
        <v>0</v>
      </c>
      <c r="J369" s="268"/>
      <c r="K369" s="268"/>
      <c r="L369" s="268"/>
      <c r="M369" s="269">
        <f>B369+I369</f>
        <v>4300</v>
      </c>
    </row>
    <row r="370" spans="2:12" ht="21" customHeight="1">
      <c r="B370" s="304"/>
      <c r="C370" s="304"/>
      <c r="D370" s="304"/>
      <c r="E370" s="304"/>
      <c r="F370" s="304"/>
      <c r="G370" s="304"/>
      <c r="H370" s="304"/>
      <c r="I370" s="304"/>
      <c r="J370" s="304"/>
      <c r="K370" s="304"/>
      <c r="L370" s="304"/>
    </row>
    <row r="371" ht="15.75">
      <c r="A371" s="265" t="s">
        <v>284</v>
      </c>
    </row>
    <row r="372" spans="1:4" ht="22.5" customHeight="1" thickBot="1">
      <c r="A372" s="265" t="s">
        <v>283</v>
      </c>
      <c r="B372" s="407"/>
      <c r="C372" s="407"/>
      <c r="D372" s="407"/>
    </row>
    <row r="373" spans="1:10" ht="16.5" customHeight="1">
      <c r="A373" s="999" t="s">
        <v>282</v>
      </c>
      <c r="B373" s="999" t="s">
        <v>281</v>
      </c>
      <c r="C373" s="999"/>
      <c r="D373" s="999"/>
      <c r="E373" s="999" t="s">
        <v>69</v>
      </c>
      <c r="F373" s="1021" t="s">
        <v>15</v>
      </c>
      <c r="G373" s="1021"/>
      <c r="H373" s="1021"/>
      <c r="I373" s="1021"/>
      <c r="J373" s="1022"/>
    </row>
    <row r="374" spans="1:10" ht="15.75">
      <c r="A374" s="999"/>
      <c r="B374" s="999"/>
      <c r="C374" s="999"/>
      <c r="D374" s="999"/>
      <c r="E374" s="999"/>
      <c r="F374" s="463" t="s">
        <v>17</v>
      </c>
      <c r="G374" s="431" t="s">
        <v>18</v>
      </c>
      <c r="H374" s="431" t="s">
        <v>19</v>
      </c>
      <c r="I374" s="364" t="s">
        <v>20</v>
      </c>
      <c r="J374" s="364" t="s">
        <v>21</v>
      </c>
    </row>
    <row r="375" spans="1:10" ht="47.25" customHeight="1">
      <c r="A375" s="464" t="s">
        <v>197</v>
      </c>
      <c r="B375" s="1059" t="s">
        <v>499</v>
      </c>
      <c r="C375" s="1059"/>
      <c r="D375" s="1059"/>
      <c r="E375" s="322" t="s">
        <v>106</v>
      </c>
      <c r="F375" s="465">
        <v>0</v>
      </c>
      <c r="G375" s="466">
        <v>0.1</v>
      </c>
      <c r="H375" s="467">
        <v>0.2</v>
      </c>
      <c r="I375" s="467">
        <v>0.3</v>
      </c>
      <c r="J375" s="468">
        <v>0.3</v>
      </c>
    </row>
    <row r="376" spans="1:10" ht="45" customHeight="1">
      <c r="A376" s="462" t="s">
        <v>200</v>
      </c>
      <c r="B376" s="1059" t="s">
        <v>499</v>
      </c>
      <c r="C376" s="1059"/>
      <c r="D376" s="1059"/>
      <c r="E376" s="434" t="s">
        <v>106</v>
      </c>
      <c r="F376" s="465">
        <v>0.2</v>
      </c>
      <c r="G376" s="466">
        <v>0.3</v>
      </c>
      <c r="H376" s="467">
        <v>0.3</v>
      </c>
      <c r="I376" s="467">
        <v>0.3</v>
      </c>
      <c r="J376" s="468">
        <v>0.3</v>
      </c>
    </row>
    <row r="377" ht="16.5" thickBot="1"/>
    <row r="378" spans="1:12" ht="24" customHeight="1" thickBot="1">
      <c r="A378" s="283" t="s">
        <v>303</v>
      </c>
      <c r="B378" s="1071" t="s">
        <v>302</v>
      </c>
      <c r="C378" s="998"/>
      <c r="D378" s="998"/>
      <c r="E378" s="998"/>
      <c r="F378" s="998"/>
      <c r="G378" s="998"/>
      <c r="H378" s="998"/>
      <c r="I378" s="998"/>
      <c r="J378" s="998"/>
      <c r="K378" s="998"/>
      <c r="L378" s="993"/>
    </row>
    <row r="379" spans="1:12" ht="32.25" customHeight="1" thickBot="1">
      <c r="A379" s="278" t="s">
        <v>301</v>
      </c>
      <c r="B379" s="993" t="s">
        <v>433</v>
      </c>
      <c r="C379" s="994"/>
      <c r="D379" s="994"/>
      <c r="E379" s="994"/>
      <c r="F379" s="994"/>
      <c r="G379" s="994"/>
      <c r="H379" s="994"/>
      <c r="I379" s="994"/>
      <c r="J379" s="994"/>
      <c r="K379" s="994"/>
      <c r="L379" s="994"/>
    </row>
    <row r="380" spans="1:12" ht="28.5" customHeight="1" thickBot="1">
      <c r="A380" s="282" t="s">
        <v>299</v>
      </c>
      <c r="B380" s="993" t="s">
        <v>434</v>
      </c>
      <c r="C380" s="994"/>
      <c r="D380" s="994"/>
      <c r="E380" s="994"/>
      <c r="F380" s="994"/>
      <c r="G380" s="994"/>
      <c r="H380" s="994"/>
      <c r="I380" s="994"/>
      <c r="J380" s="994"/>
      <c r="K380" s="994"/>
      <c r="L380" s="994"/>
    </row>
    <row r="381" spans="1:12" ht="29.25" customHeight="1" thickBot="1">
      <c r="A381" s="281" t="s">
        <v>297</v>
      </c>
      <c r="B381" s="998" t="s">
        <v>73</v>
      </c>
      <c r="C381" s="998"/>
      <c r="D381" s="998"/>
      <c r="E381" s="998"/>
      <c r="F381" s="998"/>
      <c r="G381" s="998"/>
      <c r="H381" s="998"/>
      <c r="I381" s="998"/>
      <c r="J381" s="998"/>
      <c r="K381" s="998"/>
      <c r="L381" s="993"/>
    </row>
    <row r="382" spans="1:12" ht="32.25" customHeight="1" thickBot="1">
      <c r="A382" s="278" t="s">
        <v>295</v>
      </c>
      <c r="B382" s="343" t="s">
        <v>294</v>
      </c>
      <c r="C382" s="997" t="s">
        <v>293</v>
      </c>
      <c r="D382" s="993"/>
      <c r="E382" s="279"/>
      <c r="F382" s="997" t="s">
        <v>292</v>
      </c>
      <c r="G382" s="998"/>
      <c r="H382" s="998"/>
      <c r="I382" s="993"/>
      <c r="J382" s="998" t="s">
        <v>291</v>
      </c>
      <c r="K382" s="998"/>
      <c r="L382" s="998"/>
    </row>
    <row r="383" spans="1:12" ht="30.75" customHeight="1" thickBot="1">
      <c r="A383" s="278" t="s">
        <v>290</v>
      </c>
      <c r="B383" s="988" t="s">
        <v>515</v>
      </c>
      <c r="C383" s="989"/>
      <c r="D383" s="989"/>
      <c r="E383" s="989"/>
      <c r="F383" s="989"/>
      <c r="G383" s="989"/>
      <c r="H383" s="989"/>
      <c r="I383" s="989"/>
      <c r="J383" s="989"/>
      <c r="K383" s="989"/>
      <c r="L383" s="989"/>
    </row>
    <row r="384" spans="1:12" ht="48" thickBot="1">
      <c r="A384" s="278" t="s">
        <v>288</v>
      </c>
      <c r="B384" s="1003" t="s">
        <v>432</v>
      </c>
      <c r="C384" s="994"/>
      <c r="D384" s="994"/>
      <c r="E384" s="994"/>
      <c r="F384" s="994"/>
      <c r="G384" s="994"/>
      <c r="H384" s="994"/>
      <c r="I384" s="994"/>
      <c r="J384" s="994"/>
      <c r="K384" s="994"/>
      <c r="L384" s="994"/>
    </row>
    <row r="385" ht="16.5" customHeight="1"/>
    <row r="386" ht="20.25" customHeight="1">
      <c r="A386" s="277" t="s">
        <v>286</v>
      </c>
    </row>
    <row r="387" spans="1:12" ht="18.75" customHeight="1" thickBot="1">
      <c r="A387" s="265" t="s">
        <v>283</v>
      </c>
      <c r="L387" s="276" t="s">
        <v>285</v>
      </c>
    </row>
    <row r="388" spans="1:13" ht="27.75" customHeight="1">
      <c r="A388" s="1005" t="s">
        <v>278</v>
      </c>
      <c r="B388" s="1008" t="s">
        <v>262</v>
      </c>
      <c r="C388" s="1009"/>
      <c r="D388" s="1009"/>
      <c r="E388" s="275"/>
      <c r="F388" s="999" t="s">
        <v>261</v>
      </c>
      <c r="G388" s="999"/>
      <c r="H388" s="999"/>
      <c r="I388" s="1008" t="s">
        <v>260</v>
      </c>
      <c r="J388" s="1009"/>
      <c r="K388" s="1009"/>
      <c r="L388" s="1010"/>
      <c r="M388" s="273" t="s">
        <v>259</v>
      </c>
    </row>
    <row r="389" spans="1:13" ht="13.5" customHeight="1">
      <c r="A389" s="1006"/>
      <c r="B389" s="1011" t="s">
        <v>258</v>
      </c>
      <c r="C389" s="1008" t="s">
        <v>256</v>
      </c>
      <c r="D389" s="1009"/>
      <c r="E389" s="1010"/>
      <c r="F389" s="1011" t="s">
        <v>257</v>
      </c>
      <c r="G389" s="1008" t="s">
        <v>256</v>
      </c>
      <c r="H389" s="1014"/>
      <c r="I389" s="1011" t="s">
        <v>257</v>
      </c>
      <c r="J389" s="1015" t="s">
        <v>256</v>
      </c>
      <c r="K389" s="1016"/>
      <c r="L389" s="1017"/>
      <c r="M389" s="271"/>
    </row>
    <row r="390" spans="1:13" ht="79.5" thickBot="1">
      <c r="A390" s="1007"/>
      <c r="B390" s="1012"/>
      <c r="C390" s="274" t="s">
        <v>252</v>
      </c>
      <c r="D390" s="274" t="s">
        <v>277</v>
      </c>
      <c r="E390" s="274" t="s">
        <v>276</v>
      </c>
      <c r="F390" s="1013"/>
      <c r="G390" s="274" t="s">
        <v>275</v>
      </c>
      <c r="H390" s="274" t="s">
        <v>253</v>
      </c>
      <c r="I390" s="1013"/>
      <c r="J390" s="274" t="s">
        <v>252</v>
      </c>
      <c r="K390" s="274" t="s">
        <v>251</v>
      </c>
      <c r="L390" s="274" t="s">
        <v>274</v>
      </c>
      <c r="M390" s="267"/>
    </row>
    <row r="391" spans="1:13" ht="15.75">
      <c r="A391" s="274" t="s">
        <v>19</v>
      </c>
      <c r="B391" s="269">
        <f>C391+D391+E391</f>
        <v>67900</v>
      </c>
      <c r="C391" s="268"/>
      <c r="D391" s="268">
        <f>'прил 4-1'!H44</f>
        <v>67900</v>
      </c>
      <c r="E391" s="268"/>
      <c r="F391" s="268"/>
      <c r="G391" s="268"/>
      <c r="H391" s="268"/>
      <c r="I391" s="269">
        <f>J391+K391+L391</f>
        <v>0</v>
      </c>
      <c r="J391" s="268"/>
      <c r="K391" s="268"/>
      <c r="L391" s="268"/>
      <c r="M391" s="269">
        <f>B391+I391</f>
        <v>67900</v>
      </c>
    </row>
    <row r="392" spans="1:13" ht="15.75">
      <c r="A392" s="274" t="s">
        <v>20</v>
      </c>
      <c r="B392" s="269">
        <f>C392+D392+E392</f>
        <v>67900</v>
      </c>
      <c r="C392" s="268"/>
      <c r="D392" s="268">
        <f>D391</f>
        <v>67900</v>
      </c>
      <c r="E392" s="268"/>
      <c r="F392" s="268"/>
      <c r="G392" s="268"/>
      <c r="H392" s="268"/>
      <c r="I392" s="269">
        <f>J392+K392+L392</f>
        <v>0</v>
      </c>
      <c r="J392" s="268"/>
      <c r="K392" s="268"/>
      <c r="L392" s="268"/>
      <c r="M392" s="269">
        <f>B392+I392</f>
        <v>67900</v>
      </c>
    </row>
    <row r="393" spans="1:13" ht="15.75">
      <c r="A393" s="430" t="s">
        <v>21</v>
      </c>
      <c r="B393" s="269">
        <f>C393+D393+E393</f>
        <v>67900</v>
      </c>
      <c r="C393" s="268"/>
      <c r="D393" s="268">
        <f>D392</f>
        <v>67900</v>
      </c>
      <c r="E393" s="268"/>
      <c r="F393" s="268"/>
      <c r="G393" s="268"/>
      <c r="H393" s="268"/>
      <c r="I393" s="269">
        <f>J393+K393+L393</f>
        <v>0</v>
      </c>
      <c r="J393" s="268"/>
      <c r="K393" s="268"/>
      <c r="L393" s="268"/>
      <c r="M393" s="269">
        <f>B393+I393</f>
        <v>67900</v>
      </c>
    </row>
    <row r="394" spans="2:12" ht="23.25" customHeight="1">
      <c r="B394" s="304"/>
      <c r="C394" s="304"/>
      <c r="D394" s="304"/>
      <c r="E394" s="304"/>
      <c r="F394" s="304"/>
      <c r="G394" s="304"/>
      <c r="H394" s="304"/>
      <c r="I394" s="304"/>
      <c r="J394" s="304"/>
      <c r="K394" s="304"/>
      <c r="L394" s="304"/>
    </row>
    <row r="395" ht="15.75">
      <c r="A395" s="265" t="s">
        <v>284</v>
      </c>
    </row>
    <row r="396" spans="1:4" ht="22.5" customHeight="1" thickBot="1">
      <c r="A396" s="265" t="s">
        <v>283</v>
      </c>
      <c r="B396" s="264"/>
      <c r="C396" s="264"/>
      <c r="D396" s="264"/>
    </row>
    <row r="397" spans="1:10" ht="16.5" customHeight="1">
      <c r="A397" s="1005" t="s">
        <v>282</v>
      </c>
      <c r="B397" s="1020" t="s">
        <v>281</v>
      </c>
      <c r="C397" s="1021"/>
      <c r="D397" s="1022"/>
      <c r="E397" s="1005" t="s">
        <v>69</v>
      </c>
      <c r="F397" s="1020" t="s">
        <v>15</v>
      </c>
      <c r="G397" s="1021"/>
      <c r="H397" s="1021"/>
      <c r="I397" s="1021"/>
      <c r="J397" s="1022"/>
    </row>
    <row r="398" spans="1:10" ht="15.75">
      <c r="A398" s="1006"/>
      <c r="B398" s="1070"/>
      <c r="C398" s="1032"/>
      <c r="D398" s="1033"/>
      <c r="E398" s="1006"/>
      <c r="F398" s="353" t="s">
        <v>17</v>
      </c>
      <c r="G398" s="431" t="s">
        <v>18</v>
      </c>
      <c r="H398" s="431" t="s">
        <v>19</v>
      </c>
      <c r="I398" s="364" t="s">
        <v>20</v>
      </c>
      <c r="J398" s="364" t="s">
        <v>21</v>
      </c>
    </row>
    <row r="399" spans="1:11" ht="47.25" customHeight="1">
      <c r="A399" s="470" t="s">
        <v>202</v>
      </c>
      <c r="B399" s="1059" t="s">
        <v>73</v>
      </c>
      <c r="C399" s="1059"/>
      <c r="D399" s="1059"/>
      <c r="E399" s="455" t="s">
        <v>106</v>
      </c>
      <c r="F399" s="444">
        <v>0.9</v>
      </c>
      <c r="G399" s="444">
        <v>0.95</v>
      </c>
      <c r="H399" s="444">
        <v>1</v>
      </c>
      <c r="I399" s="444">
        <v>1</v>
      </c>
      <c r="J399" s="444">
        <v>1</v>
      </c>
      <c r="K399" s="469"/>
    </row>
    <row r="401" ht="16.5" thickBot="1"/>
    <row r="402" spans="1:13" ht="15.75">
      <c r="A402" s="1060" t="s">
        <v>278</v>
      </c>
      <c r="B402" s="1063" t="s">
        <v>262</v>
      </c>
      <c r="C402" s="1064"/>
      <c r="D402" s="1064"/>
      <c r="E402" s="606"/>
      <c r="F402" s="1041" t="s">
        <v>261</v>
      </c>
      <c r="G402" s="1041"/>
      <c r="H402" s="1041"/>
      <c r="I402" s="1063" t="s">
        <v>260</v>
      </c>
      <c r="J402" s="1064"/>
      <c r="K402" s="1064"/>
      <c r="L402" s="1065"/>
      <c r="M402" s="607" t="s">
        <v>259</v>
      </c>
    </row>
    <row r="403" spans="1:13" ht="15.75">
      <c r="A403" s="1061"/>
      <c r="B403" s="1066" t="s">
        <v>258</v>
      </c>
      <c r="C403" s="1063" t="s">
        <v>256</v>
      </c>
      <c r="D403" s="1064"/>
      <c r="E403" s="1065"/>
      <c r="F403" s="1066" t="s">
        <v>257</v>
      </c>
      <c r="G403" s="1063" t="s">
        <v>256</v>
      </c>
      <c r="H403" s="1069"/>
      <c r="I403" s="1066" t="s">
        <v>257</v>
      </c>
      <c r="J403" s="1056" t="s">
        <v>256</v>
      </c>
      <c r="K403" s="1057"/>
      <c r="L403" s="1058"/>
      <c r="M403" s="608"/>
    </row>
    <row r="404" spans="1:13" ht="95.25" thickBot="1">
      <c r="A404" s="1062"/>
      <c r="B404" s="1067"/>
      <c r="C404" s="609" t="s">
        <v>252</v>
      </c>
      <c r="D404" s="609" t="s">
        <v>277</v>
      </c>
      <c r="E404" s="609" t="s">
        <v>276</v>
      </c>
      <c r="F404" s="1068"/>
      <c r="G404" s="609" t="s">
        <v>275</v>
      </c>
      <c r="H404" s="609" t="s">
        <v>253</v>
      </c>
      <c r="I404" s="1068"/>
      <c r="J404" s="609" t="s">
        <v>252</v>
      </c>
      <c r="K404" s="609" t="s">
        <v>251</v>
      </c>
      <c r="L404" s="609" t="s">
        <v>274</v>
      </c>
      <c r="M404" s="610"/>
    </row>
    <row r="405" spans="1:15" s="530" customFormat="1" ht="15">
      <c r="A405" s="611" t="s">
        <v>19</v>
      </c>
      <c r="B405" s="612">
        <f>B19+B46+B70+B169+B195+B220+B246+B270+B294+B318+B343+B367+B391</f>
        <v>1337252.3</v>
      </c>
      <c r="C405" s="613">
        <f>C19+C46+C70+C169+C195+C220+C246+C270+C294+C318+C343+C367+C391</f>
        <v>345234.2</v>
      </c>
      <c r="D405" s="613">
        <f>D19+D46+D70+D169+D195+D220+D246+D270+D294+D318+D343+D367+D391</f>
        <v>992018.1</v>
      </c>
      <c r="E405" s="612">
        <f>E19+E46+E70+E169+E195+E220+E246+E270+E294+E318+E343+E367+E391</f>
        <v>0</v>
      </c>
      <c r="F405" s="612">
        <f>F19+F46+F70+F169+F195+F220+F246+F270+F294+F318+F343+F367+F391</f>
        <v>0</v>
      </c>
      <c r="G405" s="612">
        <f>G19+G46+G70+G169+G195+G220+G246+G270+G294+G318+G343+G367+G391</f>
        <v>0</v>
      </c>
      <c r="H405" s="612">
        <f>H19+H46+H70+H169+H195+H220+H246+H270+H294+H318+H343+H367+H391</f>
        <v>0</v>
      </c>
      <c r="I405" s="612">
        <f>I19+I46+I70+I169+I195+I220+I246+I270+I294+I318+I343+I367+I391</f>
        <v>373486.6</v>
      </c>
      <c r="J405" s="613">
        <f>J19+J46+J70+J169+J195+J220+J246+J270+J294+J318+J343+J367+J391</f>
        <v>159305.69999999998</v>
      </c>
      <c r="K405" s="613">
        <f>K19+K46+K70+K169+K195+K220+K246+K270+K294+K318+K343+K367+K391</f>
        <v>165953.5</v>
      </c>
      <c r="L405" s="613">
        <f>L19+L46+L70+L169+L195+L220+L246+L270+L294+L318+L343+L367+L391</f>
        <v>48227.40000000001</v>
      </c>
      <c r="M405" s="612">
        <f>I405+B405</f>
        <v>1710738.9</v>
      </c>
      <c r="O405" s="531"/>
    </row>
    <row r="406" spans="1:15" s="530" customFormat="1" ht="15">
      <c r="A406" s="611" t="s">
        <v>20</v>
      </c>
      <c r="B406" s="612">
        <f aca="true" t="shared" si="1" ref="B406:H407">B20+B47+B71+B170+B196+B221+B247+B271+B295+B319+B344+B368+B392</f>
        <v>1338796</v>
      </c>
      <c r="C406" s="613">
        <f t="shared" si="1"/>
        <v>345234.2</v>
      </c>
      <c r="D406" s="613">
        <f t="shared" si="1"/>
        <v>993561.7999999999</v>
      </c>
      <c r="E406" s="612">
        <f t="shared" si="1"/>
        <v>0</v>
      </c>
      <c r="F406" s="612">
        <f t="shared" si="1"/>
        <v>0</v>
      </c>
      <c r="G406" s="612">
        <f t="shared" si="1"/>
        <v>0</v>
      </c>
      <c r="H406" s="612">
        <f t="shared" si="1"/>
        <v>0</v>
      </c>
      <c r="I406" s="612">
        <f>I20+I47+I71+I170+I196+I221+I247+I271+I295+I319+I344+I368+I392</f>
        <v>385029.6</v>
      </c>
      <c r="J406" s="613">
        <f aca="true" t="shared" si="2" ref="J406:L407">J20+J47+J71+J170+J196+J221+J247+J271+J295+J319+J344+J368+J392</f>
        <v>159305.69999999998</v>
      </c>
      <c r="K406" s="613">
        <f t="shared" si="2"/>
        <v>177496.5</v>
      </c>
      <c r="L406" s="613">
        <f t="shared" si="2"/>
        <v>48227.40000000001</v>
      </c>
      <c r="M406" s="612">
        <f>I406+B406</f>
        <v>1723825.6</v>
      </c>
      <c r="O406" s="531"/>
    </row>
    <row r="407" spans="1:15" s="530" customFormat="1" ht="15">
      <c r="A407" s="611" t="s">
        <v>21</v>
      </c>
      <c r="B407" s="612">
        <f t="shared" si="1"/>
        <v>1342197.1</v>
      </c>
      <c r="C407" s="613">
        <f t="shared" si="1"/>
        <v>345234.2</v>
      </c>
      <c r="D407" s="613">
        <f t="shared" si="1"/>
        <v>996962.9</v>
      </c>
      <c r="E407" s="612">
        <f t="shared" si="1"/>
        <v>0</v>
      </c>
      <c r="F407" s="612">
        <f t="shared" si="1"/>
        <v>0</v>
      </c>
      <c r="G407" s="612">
        <f t="shared" si="1"/>
        <v>0</v>
      </c>
      <c r="H407" s="612">
        <f t="shared" si="1"/>
        <v>0</v>
      </c>
      <c r="I407" s="612">
        <f>I21+I48+I72+I171+I197+I222+I248+I272+I296+I320+I345+I369+I393</f>
        <v>389698.8</v>
      </c>
      <c r="J407" s="613">
        <f t="shared" si="2"/>
        <v>159305.69999999998</v>
      </c>
      <c r="K407" s="613">
        <f t="shared" si="2"/>
        <v>182165.7</v>
      </c>
      <c r="L407" s="613">
        <f t="shared" si="2"/>
        <v>48227.40000000001</v>
      </c>
      <c r="M407" s="612">
        <f>I407+B407</f>
        <v>1731895.9000000001</v>
      </c>
      <c r="O407" s="531"/>
    </row>
    <row r="408" spans="1:13" ht="15.75">
      <c r="A408" s="614"/>
      <c r="B408" s="614"/>
      <c r="C408" s="615"/>
      <c r="D408" s="615"/>
      <c r="E408" s="614"/>
      <c r="F408" s="614"/>
      <c r="G408" s="614"/>
      <c r="H408" s="396"/>
      <c r="I408" s="615"/>
      <c r="J408" s="615"/>
      <c r="K408" s="615"/>
      <c r="L408" s="615"/>
      <c r="M408" s="615"/>
    </row>
    <row r="409" spans="2:12" ht="15.75">
      <c r="B409" s="257"/>
      <c r="C409" s="257"/>
      <c r="D409" s="257"/>
      <c r="E409" s="257"/>
      <c r="I409" s="257"/>
      <c r="J409" s="257"/>
      <c r="K409" s="257"/>
      <c r="L409" s="257"/>
    </row>
    <row r="410" spans="2:12" ht="15.75">
      <c r="B410" s="257"/>
      <c r="C410" s="257"/>
      <c r="D410" s="257"/>
      <c r="E410" s="257"/>
      <c r="I410" s="257"/>
      <c r="J410" s="257"/>
      <c r="K410" s="257"/>
      <c r="L410" s="257"/>
    </row>
    <row r="413" spans="3:12" ht="15.75">
      <c r="C413" s="257"/>
      <c r="D413" s="257"/>
      <c r="E413" s="257"/>
      <c r="J413" s="257"/>
      <c r="K413" s="257"/>
      <c r="L413" s="257"/>
    </row>
    <row r="414" spans="3:12" ht="15.75">
      <c r="C414" s="257"/>
      <c r="D414" s="257"/>
      <c r="E414" s="257"/>
      <c r="J414" s="257"/>
      <c r="K414" s="257"/>
      <c r="L414" s="257"/>
    </row>
    <row r="415" spans="3:12" ht="15.75">
      <c r="C415" s="257"/>
      <c r="D415" s="257"/>
      <c r="E415" s="257"/>
      <c r="J415" s="257"/>
      <c r="K415" s="257"/>
      <c r="L415" s="257"/>
    </row>
  </sheetData>
  <sheetProtection/>
  <mergeCells count="410">
    <mergeCell ref="B8:L8"/>
    <mergeCell ref="B9:L9"/>
    <mergeCell ref="C10:D10"/>
    <mergeCell ref="F10:I10"/>
    <mergeCell ref="J10:L10"/>
    <mergeCell ref="B11:L11"/>
    <mergeCell ref="H1:M1"/>
    <mergeCell ref="H2:M2"/>
    <mergeCell ref="H3:M3"/>
    <mergeCell ref="A4:M4"/>
    <mergeCell ref="B6:L6"/>
    <mergeCell ref="B7:L7"/>
    <mergeCell ref="J17:L17"/>
    <mergeCell ref="A25:A26"/>
    <mergeCell ref="B25:D26"/>
    <mergeCell ref="E25:E26"/>
    <mergeCell ref="B27:D27"/>
    <mergeCell ref="B12:L12"/>
    <mergeCell ref="A16:A18"/>
    <mergeCell ref="B16:D16"/>
    <mergeCell ref="F16:H16"/>
    <mergeCell ref="I16:L16"/>
    <mergeCell ref="B17:B18"/>
    <mergeCell ref="C17:E17"/>
    <mergeCell ref="F17:F18"/>
    <mergeCell ref="G17:H17"/>
    <mergeCell ref="I17:I18"/>
    <mergeCell ref="F25:J25"/>
    <mergeCell ref="B36:L36"/>
    <mergeCell ref="C37:D37"/>
    <mergeCell ref="F37:I37"/>
    <mergeCell ref="J37:L37"/>
    <mergeCell ref="B38:L38"/>
    <mergeCell ref="B39:L39"/>
    <mergeCell ref="B28:D28"/>
    <mergeCell ref="B29:D29"/>
    <mergeCell ref="B30:D30"/>
    <mergeCell ref="B33:L33"/>
    <mergeCell ref="B34:L34"/>
    <mergeCell ref="B35:L35"/>
    <mergeCell ref="A43:A45"/>
    <mergeCell ref="B43:D43"/>
    <mergeCell ref="F43:H43"/>
    <mergeCell ref="I43:L43"/>
    <mergeCell ref="B44:B45"/>
    <mergeCell ref="C44:E44"/>
    <mergeCell ref="F44:F45"/>
    <mergeCell ref="G44:H44"/>
    <mergeCell ref="I44:I45"/>
    <mergeCell ref="J44:L44"/>
    <mergeCell ref="B58:L58"/>
    <mergeCell ref="B59:L59"/>
    <mergeCell ref="B60:L60"/>
    <mergeCell ref="C61:D61"/>
    <mergeCell ref="F61:I61"/>
    <mergeCell ref="J61:L61"/>
    <mergeCell ref="A52:A53"/>
    <mergeCell ref="B52:D53"/>
    <mergeCell ref="E52:E53"/>
    <mergeCell ref="B54:D54"/>
    <mergeCell ref="B57:L57"/>
    <mergeCell ref="F52:H52"/>
    <mergeCell ref="B62:L62"/>
    <mergeCell ref="B63:L63"/>
    <mergeCell ref="A67:A69"/>
    <mergeCell ref="B67:D67"/>
    <mergeCell ref="F67:H67"/>
    <mergeCell ref="I67:L67"/>
    <mergeCell ref="B68:B69"/>
    <mergeCell ref="C68:E68"/>
    <mergeCell ref="F68:F69"/>
    <mergeCell ref="G68:H68"/>
    <mergeCell ref="B78:D78"/>
    <mergeCell ref="B79:D79"/>
    <mergeCell ref="B82:L82"/>
    <mergeCell ref="B83:L83"/>
    <mergeCell ref="B84:L84"/>
    <mergeCell ref="B85:L85"/>
    <mergeCell ref="I68:I69"/>
    <mergeCell ref="J68:L68"/>
    <mergeCell ref="A76:A77"/>
    <mergeCell ref="B76:D77"/>
    <mergeCell ref="E76:E77"/>
    <mergeCell ref="F76:J76"/>
    <mergeCell ref="A101:A102"/>
    <mergeCell ref="B101:D102"/>
    <mergeCell ref="E101:E102"/>
    <mergeCell ref="G101:J101"/>
    <mergeCell ref="C86:D86"/>
    <mergeCell ref="F86:I86"/>
    <mergeCell ref="J86:L86"/>
    <mergeCell ref="B87:L87"/>
    <mergeCell ref="B88:L88"/>
    <mergeCell ref="A92:A94"/>
    <mergeCell ref="B92:D92"/>
    <mergeCell ref="F92:H92"/>
    <mergeCell ref="I92:L92"/>
    <mergeCell ref="B93:B94"/>
    <mergeCell ref="B103:D103"/>
    <mergeCell ref="B107:L107"/>
    <mergeCell ref="B108:L108"/>
    <mergeCell ref="B109:L109"/>
    <mergeCell ref="B110:L110"/>
    <mergeCell ref="C111:D111"/>
    <mergeCell ref="F111:I111"/>
    <mergeCell ref="J111:L111"/>
    <mergeCell ref="C93:E93"/>
    <mergeCell ref="F93:F94"/>
    <mergeCell ref="G93:H93"/>
    <mergeCell ref="I93:I94"/>
    <mergeCell ref="J93:L93"/>
    <mergeCell ref="B112:L112"/>
    <mergeCell ref="B113:L113"/>
    <mergeCell ref="A117:A119"/>
    <mergeCell ref="B117:D117"/>
    <mergeCell ref="F117:H117"/>
    <mergeCell ref="I117:L117"/>
    <mergeCell ref="B118:B119"/>
    <mergeCell ref="C118:E118"/>
    <mergeCell ref="F118:F119"/>
    <mergeCell ref="G118:H118"/>
    <mergeCell ref="B128:D128"/>
    <mergeCell ref="B129:D129"/>
    <mergeCell ref="B131:L131"/>
    <mergeCell ref="B132:L132"/>
    <mergeCell ref="B133:L133"/>
    <mergeCell ref="B134:L134"/>
    <mergeCell ref="I118:I119"/>
    <mergeCell ref="J118:L118"/>
    <mergeCell ref="A126:A127"/>
    <mergeCell ref="B126:D127"/>
    <mergeCell ref="E126:E127"/>
    <mergeCell ref="G126:J126"/>
    <mergeCell ref="A150:A151"/>
    <mergeCell ref="B150:D151"/>
    <mergeCell ref="E150:E151"/>
    <mergeCell ref="G150:J150"/>
    <mergeCell ref="C135:D135"/>
    <mergeCell ref="F135:I135"/>
    <mergeCell ref="J135:L135"/>
    <mergeCell ref="B136:L136"/>
    <mergeCell ref="B137:L137"/>
    <mergeCell ref="A141:A143"/>
    <mergeCell ref="B141:D141"/>
    <mergeCell ref="F141:H141"/>
    <mergeCell ref="I141:L141"/>
    <mergeCell ref="B142:B143"/>
    <mergeCell ref="B152:D152"/>
    <mergeCell ref="B156:L156"/>
    <mergeCell ref="B157:L157"/>
    <mergeCell ref="B158:L158"/>
    <mergeCell ref="B159:L159"/>
    <mergeCell ref="C160:D160"/>
    <mergeCell ref="F160:I160"/>
    <mergeCell ref="J160:L160"/>
    <mergeCell ref="C142:E142"/>
    <mergeCell ref="F142:F143"/>
    <mergeCell ref="G142:H142"/>
    <mergeCell ref="I142:I143"/>
    <mergeCell ref="J142:L142"/>
    <mergeCell ref="B161:L161"/>
    <mergeCell ref="B162:L162"/>
    <mergeCell ref="A166:A168"/>
    <mergeCell ref="B166:D166"/>
    <mergeCell ref="F166:H166"/>
    <mergeCell ref="I166:L166"/>
    <mergeCell ref="B167:B168"/>
    <mergeCell ref="C167:E167"/>
    <mergeCell ref="F167:F168"/>
    <mergeCell ref="G167:H167"/>
    <mergeCell ref="B177:D177"/>
    <mergeCell ref="A180:M180"/>
    <mergeCell ref="B182:L182"/>
    <mergeCell ref="B183:L183"/>
    <mergeCell ref="B184:L184"/>
    <mergeCell ref="B185:L185"/>
    <mergeCell ref="I167:I168"/>
    <mergeCell ref="J167:L167"/>
    <mergeCell ref="A175:A176"/>
    <mergeCell ref="B175:D176"/>
    <mergeCell ref="E175:E176"/>
    <mergeCell ref="F175:J175"/>
    <mergeCell ref="B178:D178"/>
    <mergeCell ref="A201:A202"/>
    <mergeCell ref="B201:D202"/>
    <mergeCell ref="E201:E202"/>
    <mergeCell ref="C186:D186"/>
    <mergeCell ref="F186:I186"/>
    <mergeCell ref="J186:L186"/>
    <mergeCell ref="B187:L187"/>
    <mergeCell ref="B188:L188"/>
    <mergeCell ref="A192:A194"/>
    <mergeCell ref="B192:D192"/>
    <mergeCell ref="F192:H192"/>
    <mergeCell ref="I192:L192"/>
    <mergeCell ref="B193:B194"/>
    <mergeCell ref="F201:J201"/>
    <mergeCell ref="B203:D203"/>
    <mergeCell ref="B207:L207"/>
    <mergeCell ref="B208:L208"/>
    <mergeCell ref="B209:L209"/>
    <mergeCell ref="B210:L210"/>
    <mergeCell ref="C211:D211"/>
    <mergeCell ref="F211:I211"/>
    <mergeCell ref="J211:L211"/>
    <mergeCell ref="C193:E193"/>
    <mergeCell ref="F193:F194"/>
    <mergeCell ref="G193:H193"/>
    <mergeCell ref="I193:I194"/>
    <mergeCell ref="J193:L193"/>
    <mergeCell ref="A226:A227"/>
    <mergeCell ref="B226:D227"/>
    <mergeCell ref="E226:E227"/>
    <mergeCell ref="B212:L212"/>
    <mergeCell ref="B213:L213"/>
    <mergeCell ref="A217:A219"/>
    <mergeCell ref="B217:D217"/>
    <mergeCell ref="F217:H217"/>
    <mergeCell ref="I217:L217"/>
    <mergeCell ref="B218:B219"/>
    <mergeCell ref="C218:E218"/>
    <mergeCell ref="F218:F219"/>
    <mergeCell ref="G218:H218"/>
    <mergeCell ref="F226:J226"/>
    <mergeCell ref="B228:D228"/>
    <mergeCell ref="B233:L233"/>
    <mergeCell ref="B234:L234"/>
    <mergeCell ref="B235:L235"/>
    <mergeCell ref="B236:L236"/>
    <mergeCell ref="C237:D237"/>
    <mergeCell ref="F237:I237"/>
    <mergeCell ref="J237:L237"/>
    <mergeCell ref="I218:I219"/>
    <mergeCell ref="J218:L218"/>
    <mergeCell ref="B229:D229"/>
    <mergeCell ref="A252:A253"/>
    <mergeCell ref="B252:D253"/>
    <mergeCell ref="E252:E253"/>
    <mergeCell ref="B238:L238"/>
    <mergeCell ref="B239:L239"/>
    <mergeCell ref="A243:A245"/>
    <mergeCell ref="B243:D243"/>
    <mergeCell ref="F243:H243"/>
    <mergeCell ref="I243:L243"/>
    <mergeCell ref="B244:B245"/>
    <mergeCell ref="C244:E244"/>
    <mergeCell ref="F244:F245"/>
    <mergeCell ref="G244:H244"/>
    <mergeCell ref="F252:J252"/>
    <mergeCell ref="B254:D254"/>
    <mergeCell ref="B257:L257"/>
    <mergeCell ref="B258:L258"/>
    <mergeCell ref="B259:L259"/>
    <mergeCell ref="B260:L260"/>
    <mergeCell ref="C261:D261"/>
    <mergeCell ref="F261:I261"/>
    <mergeCell ref="J261:L261"/>
    <mergeCell ref="I244:I245"/>
    <mergeCell ref="J244:L244"/>
    <mergeCell ref="A276:A277"/>
    <mergeCell ref="B276:D277"/>
    <mergeCell ref="E276:E277"/>
    <mergeCell ref="B262:L262"/>
    <mergeCell ref="B263:L263"/>
    <mergeCell ref="A267:A269"/>
    <mergeCell ref="B267:D267"/>
    <mergeCell ref="F267:H267"/>
    <mergeCell ref="I267:L267"/>
    <mergeCell ref="B268:B269"/>
    <mergeCell ref="C268:E268"/>
    <mergeCell ref="F268:F269"/>
    <mergeCell ref="G268:H268"/>
    <mergeCell ref="F276:J276"/>
    <mergeCell ref="B278:D278"/>
    <mergeCell ref="B281:L281"/>
    <mergeCell ref="B282:L282"/>
    <mergeCell ref="B283:L283"/>
    <mergeCell ref="B284:L284"/>
    <mergeCell ref="C285:D285"/>
    <mergeCell ref="F285:I285"/>
    <mergeCell ref="J285:L285"/>
    <mergeCell ref="I268:I269"/>
    <mergeCell ref="J268:L268"/>
    <mergeCell ref="B279:D279"/>
    <mergeCell ref="A300:A301"/>
    <mergeCell ref="B300:D301"/>
    <mergeCell ref="E300:E301"/>
    <mergeCell ref="B286:L286"/>
    <mergeCell ref="B287:L287"/>
    <mergeCell ref="A291:A293"/>
    <mergeCell ref="B291:D291"/>
    <mergeCell ref="F291:H291"/>
    <mergeCell ref="I291:L291"/>
    <mergeCell ref="B292:B293"/>
    <mergeCell ref="C292:E292"/>
    <mergeCell ref="F292:F293"/>
    <mergeCell ref="G292:H292"/>
    <mergeCell ref="F300:J300"/>
    <mergeCell ref="B302:D302"/>
    <mergeCell ref="B305:L305"/>
    <mergeCell ref="B306:L306"/>
    <mergeCell ref="B307:L307"/>
    <mergeCell ref="B308:L308"/>
    <mergeCell ref="C309:D309"/>
    <mergeCell ref="F309:I309"/>
    <mergeCell ref="J309:L309"/>
    <mergeCell ref="I292:I293"/>
    <mergeCell ref="J292:L292"/>
    <mergeCell ref="B310:L310"/>
    <mergeCell ref="B311:L311"/>
    <mergeCell ref="A315:A317"/>
    <mergeCell ref="B315:D315"/>
    <mergeCell ref="F315:H315"/>
    <mergeCell ref="I315:L315"/>
    <mergeCell ref="B316:B317"/>
    <mergeCell ref="C316:E316"/>
    <mergeCell ref="F316:F317"/>
    <mergeCell ref="G316:H316"/>
    <mergeCell ref="B326:D326"/>
    <mergeCell ref="B327:D327"/>
    <mergeCell ref="B330:L330"/>
    <mergeCell ref="B331:L331"/>
    <mergeCell ref="B332:L332"/>
    <mergeCell ref="B333:L333"/>
    <mergeCell ref="I316:I317"/>
    <mergeCell ref="J316:L316"/>
    <mergeCell ref="A324:A325"/>
    <mergeCell ref="B324:D325"/>
    <mergeCell ref="E324:E325"/>
    <mergeCell ref="F324:J324"/>
    <mergeCell ref="B328:D328"/>
    <mergeCell ref="A349:A350"/>
    <mergeCell ref="B349:D350"/>
    <mergeCell ref="E349:E350"/>
    <mergeCell ref="C334:D334"/>
    <mergeCell ref="F334:I334"/>
    <mergeCell ref="J334:L334"/>
    <mergeCell ref="B335:L335"/>
    <mergeCell ref="B336:L336"/>
    <mergeCell ref="A340:A342"/>
    <mergeCell ref="B340:D340"/>
    <mergeCell ref="F340:H340"/>
    <mergeCell ref="I340:L340"/>
    <mergeCell ref="B341:B342"/>
    <mergeCell ref="F349:J349"/>
    <mergeCell ref="B351:D351"/>
    <mergeCell ref="B354:L354"/>
    <mergeCell ref="B355:L355"/>
    <mergeCell ref="B356:L356"/>
    <mergeCell ref="B357:L357"/>
    <mergeCell ref="C358:D358"/>
    <mergeCell ref="F358:I358"/>
    <mergeCell ref="J358:L358"/>
    <mergeCell ref="C341:E341"/>
    <mergeCell ref="F341:F342"/>
    <mergeCell ref="G341:H341"/>
    <mergeCell ref="I341:I342"/>
    <mergeCell ref="J341:L341"/>
    <mergeCell ref="A373:A374"/>
    <mergeCell ref="B373:D374"/>
    <mergeCell ref="E373:E374"/>
    <mergeCell ref="B359:L359"/>
    <mergeCell ref="B360:L360"/>
    <mergeCell ref="A364:A366"/>
    <mergeCell ref="B364:D364"/>
    <mergeCell ref="F364:H364"/>
    <mergeCell ref="I364:L364"/>
    <mergeCell ref="B365:B366"/>
    <mergeCell ref="C365:E365"/>
    <mergeCell ref="F365:F366"/>
    <mergeCell ref="G365:H365"/>
    <mergeCell ref="F373:J373"/>
    <mergeCell ref="B375:D375"/>
    <mergeCell ref="B378:L378"/>
    <mergeCell ref="B379:L379"/>
    <mergeCell ref="B380:L380"/>
    <mergeCell ref="B381:L381"/>
    <mergeCell ref="C382:D382"/>
    <mergeCell ref="F382:I382"/>
    <mergeCell ref="J382:L382"/>
    <mergeCell ref="I365:I366"/>
    <mergeCell ref="J365:L365"/>
    <mergeCell ref="B376:D376"/>
    <mergeCell ref="I389:I390"/>
    <mergeCell ref="J389:L389"/>
    <mergeCell ref="A397:A398"/>
    <mergeCell ref="B397:D398"/>
    <mergeCell ref="E397:E398"/>
    <mergeCell ref="B383:L383"/>
    <mergeCell ref="B384:L384"/>
    <mergeCell ref="A388:A390"/>
    <mergeCell ref="B388:D388"/>
    <mergeCell ref="F388:H388"/>
    <mergeCell ref="I388:L388"/>
    <mergeCell ref="B389:B390"/>
    <mergeCell ref="C389:E389"/>
    <mergeCell ref="F389:F390"/>
    <mergeCell ref="G389:H389"/>
    <mergeCell ref="F397:J397"/>
    <mergeCell ref="J403:L403"/>
    <mergeCell ref="B399:D399"/>
    <mergeCell ref="A402:A404"/>
    <mergeCell ref="B402:D402"/>
    <mergeCell ref="F402:H402"/>
    <mergeCell ref="I402:L402"/>
    <mergeCell ref="B403:B404"/>
    <mergeCell ref="C403:E403"/>
    <mergeCell ref="F403:F404"/>
    <mergeCell ref="G403:H403"/>
    <mergeCell ref="I403:I40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L125"/>
  <sheetViews>
    <sheetView zoomScaleSheetLayoutView="100" zoomScalePageLayoutView="0" workbookViewId="0" topLeftCell="A52">
      <selection activeCell="A111" sqref="A111:O118"/>
    </sheetView>
  </sheetViews>
  <sheetFormatPr defaultColWidth="9.140625" defaultRowHeight="12.75"/>
  <cols>
    <col min="1" max="1" width="32.00390625" style="187" customWidth="1"/>
    <col min="2" max="4" width="11.28125" style="187" bestFit="1" customWidth="1"/>
    <col min="5" max="5" width="11.57421875" style="187" customWidth="1"/>
    <col min="6" max="6" width="11.00390625" style="187" customWidth="1"/>
    <col min="7" max="7" width="11.8515625" style="187" customWidth="1"/>
    <col min="8" max="8" width="12.421875" style="187" customWidth="1"/>
    <col min="9" max="9" width="12.00390625" style="187" customWidth="1"/>
    <col min="10" max="10" width="12.8515625" style="187" customWidth="1"/>
    <col min="11" max="11" width="12.28125" style="187" customWidth="1"/>
    <col min="12" max="12" width="12.140625" style="187" customWidth="1"/>
    <col min="13" max="13" width="11.57421875" style="187" bestFit="1" customWidth="1"/>
    <col min="14" max="15" width="9.8515625" style="187" bestFit="1" customWidth="1"/>
    <col min="16" max="16384" width="9.140625" style="187" customWidth="1"/>
  </cols>
  <sheetData>
    <row r="1" spans="1:14" ht="31.5" customHeight="1">
      <c r="A1" s="222" t="s">
        <v>0</v>
      </c>
      <c r="H1" s="1096" t="s">
        <v>316</v>
      </c>
      <c r="I1" s="1096"/>
      <c r="J1" s="1096"/>
      <c r="K1" s="1096"/>
      <c r="L1" s="1096"/>
      <c r="M1" s="1096"/>
      <c r="N1" s="254"/>
    </row>
    <row r="2" spans="1:14" ht="17.25" customHeight="1">
      <c r="A2" s="215"/>
      <c r="H2" s="1096" t="s">
        <v>271</v>
      </c>
      <c r="I2" s="1096"/>
      <c r="J2" s="1096"/>
      <c r="K2" s="1096"/>
      <c r="L2" s="1096"/>
      <c r="M2" s="1096"/>
      <c r="N2" s="254"/>
    </row>
    <row r="3" spans="1:14" ht="15.75" customHeight="1">
      <c r="A3" s="215"/>
      <c r="H3" s="1096" t="s">
        <v>270</v>
      </c>
      <c r="I3" s="1096"/>
      <c r="J3" s="1096"/>
      <c r="K3" s="1096"/>
      <c r="L3" s="1096"/>
      <c r="M3" s="1096"/>
      <c r="N3" s="254"/>
    </row>
    <row r="4" spans="1:14" ht="20.25" customHeight="1">
      <c r="A4" s="1097" t="s">
        <v>315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254"/>
    </row>
    <row r="5" ht="1.5" customHeight="1" thickBot="1"/>
    <row r="6" spans="1:12" ht="24" customHeight="1" thickBot="1">
      <c r="A6" s="240" t="s">
        <v>303</v>
      </c>
      <c r="B6" s="1098" t="s">
        <v>302</v>
      </c>
      <c r="C6" s="1095"/>
      <c r="D6" s="1095"/>
      <c r="E6" s="1095"/>
      <c r="F6" s="1095"/>
      <c r="G6" s="1095"/>
      <c r="H6" s="1095"/>
      <c r="I6" s="1095"/>
      <c r="J6" s="1095"/>
      <c r="K6" s="1095"/>
      <c r="L6" s="1095"/>
    </row>
    <row r="7" spans="1:12" ht="20.25" customHeight="1" thickBot="1">
      <c r="A7" s="235" t="s">
        <v>301</v>
      </c>
      <c r="B7" s="1098" t="s">
        <v>300</v>
      </c>
      <c r="C7" s="1095"/>
      <c r="D7" s="1095"/>
      <c r="E7" s="1095"/>
      <c r="F7" s="1095"/>
      <c r="G7" s="1095"/>
      <c r="H7" s="1095"/>
      <c r="I7" s="1095"/>
      <c r="J7" s="1095"/>
      <c r="K7" s="1095"/>
      <c r="L7" s="1095"/>
    </row>
    <row r="8" spans="1:12" ht="20.25" customHeight="1" thickBot="1">
      <c r="A8" s="239" t="s">
        <v>299</v>
      </c>
      <c r="B8" s="1098" t="s">
        <v>314</v>
      </c>
      <c r="C8" s="1095"/>
      <c r="D8" s="1095"/>
      <c r="E8" s="1095"/>
      <c r="F8" s="1095"/>
      <c r="G8" s="1095"/>
      <c r="H8" s="1095"/>
      <c r="I8" s="1095"/>
      <c r="J8" s="1095"/>
      <c r="K8" s="1095"/>
      <c r="L8" s="1095"/>
    </row>
    <row r="9" spans="1:12" ht="29.25" customHeight="1" thickBot="1">
      <c r="A9" s="238" t="s">
        <v>297</v>
      </c>
      <c r="B9" s="1108" t="s">
        <v>47</v>
      </c>
      <c r="C9" s="1108"/>
      <c r="D9" s="1108"/>
      <c r="E9" s="1108"/>
      <c r="F9" s="1108"/>
      <c r="G9" s="1108"/>
      <c r="H9" s="1108"/>
      <c r="I9" s="1108"/>
      <c r="J9" s="1108"/>
      <c r="K9" s="1108"/>
      <c r="L9" s="1098"/>
    </row>
    <row r="10" spans="1:12" ht="32.25" customHeight="1" thickBot="1">
      <c r="A10" s="235" t="s">
        <v>295</v>
      </c>
      <c r="B10" s="237" t="s">
        <v>294</v>
      </c>
      <c r="C10" s="1109" t="s">
        <v>293</v>
      </c>
      <c r="D10" s="1098"/>
      <c r="E10" s="236"/>
      <c r="F10" s="1109" t="s">
        <v>292</v>
      </c>
      <c r="G10" s="1108"/>
      <c r="H10" s="1108"/>
      <c r="I10" s="1098"/>
      <c r="J10" s="1108" t="s">
        <v>291</v>
      </c>
      <c r="K10" s="1108"/>
      <c r="L10" s="1108"/>
    </row>
    <row r="11" spans="1:12" ht="64.5" customHeight="1" thickBot="1">
      <c r="A11" s="235" t="s">
        <v>290</v>
      </c>
      <c r="B11" s="1116" t="s">
        <v>313</v>
      </c>
      <c r="C11" s="1117"/>
      <c r="D11" s="1117"/>
      <c r="E11" s="1117"/>
      <c r="F11" s="1117"/>
      <c r="G11" s="1117"/>
      <c r="H11" s="1117"/>
      <c r="I11" s="1117"/>
      <c r="J11" s="1117"/>
      <c r="K11" s="1117"/>
      <c r="L11" s="1117"/>
    </row>
    <row r="12" spans="1:12" ht="32.25" thickBot="1">
      <c r="A12" s="235" t="s">
        <v>288</v>
      </c>
      <c r="B12" s="1094" t="s">
        <v>312</v>
      </c>
      <c r="C12" s="1095"/>
      <c r="D12" s="1095"/>
      <c r="E12" s="1095"/>
      <c r="F12" s="1095"/>
      <c r="G12" s="1095"/>
      <c r="H12" s="1095"/>
      <c r="I12" s="1095"/>
      <c r="J12" s="1095"/>
      <c r="K12" s="1095"/>
      <c r="L12" s="1095"/>
    </row>
    <row r="13" ht="0.75" customHeight="1"/>
    <row r="14" ht="20.25" customHeight="1">
      <c r="A14" s="214" t="s">
        <v>286</v>
      </c>
    </row>
    <row r="15" spans="1:12" ht="18.75" customHeight="1" thickBot="1">
      <c r="A15" s="233" t="s">
        <v>283</v>
      </c>
      <c r="L15" s="201" t="s">
        <v>285</v>
      </c>
    </row>
    <row r="16" spans="1:13" ht="27.75" customHeight="1">
      <c r="A16" s="1099" t="s">
        <v>278</v>
      </c>
      <c r="B16" s="898" t="s">
        <v>262</v>
      </c>
      <c r="C16" s="899"/>
      <c r="D16" s="899"/>
      <c r="E16" s="218"/>
      <c r="F16" s="908" t="s">
        <v>261</v>
      </c>
      <c r="G16" s="908"/>
      <c r="H16" s="908"/>
      <c r="I16" s="898" t="s">
        <v>260</v>
      </c>
      <c r="J16" s="899"/>
      <c r="K16" s="899"/>
      <c r="L16" s="900"/>
      <c r="M16" s="199" t="s">
        <v>259</v>
      </c>
    </row>
    <row r="17" spans="1:13" ht="13.5" customHeight="1">
      <c r="A17" s="1107"/>
      <c r="B17" s="901" t="s">
        <v>258</v>
      </c>
      <c r="C17" s="898" t="s">
        <v>256</v>
      </c>
      <c r="D17" s="899"/>
      <c r="E17" s="900"/>
      <c r="F17" s="901" t="s">
        <v>257</v>
      </c>
      <c r="G17" s="898" t="s">
        <v>256</v>
      </c>
      <c r="H17" s="905"/>
      <c r="I17" s="901" t="s">
        <v>257</v>
      </c>
      <c r="J17" s="910" t="s">
        <v>256</v>
      </c>
      <c r="K17" s="911"/>
      <c r="L17" s="912"/>
      <c r="M17" s="198"/>
    </row>
    <row r="18" spans="1:13" ht="78.75" customHeight="1" thickBot="1">
      <c r="A18" s="1100"/>
      <c r="B18" s="904"/>
      <c r="C18" s="216" t="s">
        <v>252</v>
      </c>
      <c r="D18" s="216" t="s">
        <v>277</v>
      </c>
      <c r="E18" s="216" t="s">
        <v>276</v>
      </c>
      <c r="F18" s="902"/>
      <c r="G18" s="216" t="s">
        <v>275</v>
      </c>
      <c r="H18" s="216" t="s">
        <v>253</v>
      </c>
      <c r="I18" s="902"/>
      <c r="J18" s="216" t="s">
        <v>252</v>
      </c>
      <c r="K18" s="216" t="s">
        <v>251</v>
      </c>
      <c r="L18" s="216" t="s">
        <v>274</v>
      </c>
      <c r="M18" s="196"/>
    </row>
    <row r="19" spans="1:13" ht="15.75">
      <c r="A19" s="216">
        <v>2020</v>
      </c>
      <c r="B19" s="191">
        <f>C19+D19+E19</f>
        <v>27192.699999999997</v>
      </c>
      <c r="C19" s="192">
        <f>'прил 4-1'!G46</f>
        <v>27192.699999999997</v>
      </c>
      <c r="D19" s="192"/>
      <c r="E19" s="192"/>
      <c r="F19" s="192"/>
      <c r="G19" s="192"/>
      <c r="H19" s="192"/>
      <c r="I19" s="191">
        <f>J19+K19+L19</f>
        <v>0</v>
      </c>
      <c r="J19" s="192"/>
      <c r="K19" s="192"/>
      <c r="L19" s="196"/>
      <c r="M19" s="234">
        <f>B19+F19+I19</f>
        <v>27192.699999999997</v>
      </c>
    </row>
    <row r="20" spans="1:13" ht="15.75">
      <c r="A20" s="219">
        <v>2021</v>
      </c>
      <c r="B20" s="253">
        <f>C20+D20+E20</f>
        <v>27192.699999999997</v>
      </c>
      <c r="C20" s="192">
        <f>C19</f>
        <v>27192.699999999997</v>
      </c>
      <c r="D20" s="252"/>
      <c r="E20" s="252"/>
      <c r="F20" s="252"/>
      <c r="G20" s="252"/>
      <c r="H20" s="252"/>
      <c r="I20" s="253">
        <f>J20+K20+L20</f>
        <v>0</v>
      </c>
      <c r="J20" s="252"/>
      <c r="K20" s="252"/>
      <c r="L20" s="251"/>
      <c r="M20" s="250">
        <f>B20+F20+I20</f>
        <v>27192.699999999997</v>
      </c>
    </row>
    <row r="21" spans="1:90" s="196" customFormat="1" ht="15.75">
      <c r="A21" s="216">
        <v>2022</v>
      </c>
      <c r="B21" s="191">
        <f>C21+D21+E21</f>
        <v>27192.699999999997</v>
      </c>
      <c r="C21" s="192">
        <f>C20</f>
        <v>27192.699999999997</v>
      </c>
      <c r="D21" s="192"/>
      <c r="E21" s="192"/>
      <c r="F21" s="192"/>
      <c r="G21" s="192"/>
      <c r="H21" s="192"/>
      <c r="I21" s="191">
        <f>J21+K21+L21</f>
        <v>0</v>
      </c>
      <c r="J21" s="192"/>
      <c r="K21" s="192"/>
      <c r="M21" s="249">
        <f>B21+F21+I21</f>
        <v>27192.699999999997</v>
      </c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</row>
    <row r="22" spans="2:13" ht="21" customHeight="1"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07"/>
    </row>
    <row r="23" ht="15.75">
      <c r="A23" s="233" t="s">
        <v>284</v>
      </c>
    </row>
    <row r="24" spans="1:4" ht="22.5" customHeight="1" thickBot="1">
      <c r="A24" s="233" t="s">
        <v>283</v>
      </c>
      <c r="B24" s="232"/>
      <c r="C24" s="232"/>
      <c r="D24" s="232"/>
    </row>
    <row r="25" spans="1:10" ht="15.75" customHeight="1" thickBot="1">
      <c r="A25" s="1099" t="s">
        <v>282</v>
      </c>
      <c r="B25" s="1101" t="s">
        <v>281</v>
      </c>
      <c r="C25" s="1102"/>
      <c r="D25" s="1103"/>
      <c r="E25" s="1099" t="s">
        <v>69</v>
      </c>
      <c r="F25" s="244"/>
      <c r="G25" s="1113" t="s">
        <v>15</v>
      </c>
      <c r="H25" s="1114"/>
      <c r="I25" s="1115"/>
      <c r="J25" s="248"/>
    </row>
    <row r="26" spans="1:10" ht="16.5" thickBot="1">
      <c r="A26" s="1100"/>
      <c r="B26" s="1104"/>
      <c r="C26" s="1105"/>
      <c r="D26" s="1106"/>
      <c r="E26" s="1104"/>
      <c r="F26" s="216" t="s">
        <v>17</v>
      </c>
      <c r="G26" s="247" t="s">
        <v>18</v>
      </c>
      <c r="H26" s="247" t="s">
        <v>19</v>
      </c>
      <c r="I26" s="229" t="s">
        <v>20</v>
      </c>
      <c r="J26" s="245"/>
    </row>
    <row r="27" spans="1:10" ht="48" thickBot="1">
      <c r="A27" s="246" t="s">
        <v>212</v>
      </c>
      <c r="B27" s="1131" t="s">
        <v>68</v>
      </c>
      <c r="C27" s="1132"/>
      <c r="D27" s="1133"/>
      <c r="E27" s="220" t="s">
        <v>213</v>
      </c>
      <c r="F27" s="243">
        <v>14.8</v>
      </c>
      <c r="G27" s="220">
        <v>14</v>
      </c>
      <c r="H27" s="220">
        <v>14</v>
      </c>
      <c r="I27" s="242">
        <v>14</v>
      </c>
      <c r="J27" s="245"/>
    </row>
    <row r="28" spans="1:10" ht="47.25">
      <c r="A28" s="246" t="s">
        <v>214</v>
      </c>
      <c r="B28" s="1131" t="s">
        <v>68</v>
      </c>
      <c r="C28" s="1132"/>
      <c r="D28" s="1133"/>
      <c r="E28" s="220" t="s">
        <v>213</v>
      </c>
      <c r="F28" s="241">
        <v>3219</v>
      </c>
      <c r="G28" s="216" t="s">
        <v>155</v>
      </c>
      <c r="H28" s="216" t="s">
        <v>155</v>
      </c>
      <c r="I28" s="216" t="s">
        <v>155</v>
      </c>
      <c r="J28" s="245"/>
    </row>
    <row r="29" spans="1:10" ht="90">
      <c r="A29" s="246" t="s">
        <v>215</v>
      </c>
      <c r="B29" s="898" t="s">
        <v>279</v>
      </c>
      <c r="C29" s="899"/>
      <c r="D29" s="900"/>
      <c r="E29" s="216" t="s">
        <v>114</v>
      </c>
      <c r="F29" s="241">
        <v>150</v>
      </c>
      <c r="G29" s="216">
        <v>150</v>
      </c>
      <c r="H29" s="216">
        <v>175</v>
      </c>
      <c r="I29" s="217">
        <v>175</v>
      </c>
      <c r="J29" s="245"/>
    </row>
    <row r="31" ht="16.5" thickBot="1"/>
    <row r="32" spans="1:12" ht="24" customHeight="1" thickBot="1">
      <c r="A32" s="240" t="s">
        <v>303</v>
      </c>
      <c r="B32" s="1098" t="s">
        <v>302</v>
      </c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</row>
    <row r="33" spans="1:12" ht="20.25" customHeight="1" thickBot="1">
      <c r="A33" s="235" t="s">
        <v>301</v>
      </c>
      <c r="B33" s="1098" t="s">
        <v>300</v>
      </c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</row>
    <row r="34" spans="1:12" ht="20.25" customHeight="1" thickBot="1">
      <c r="A34" s="239" t="s">
        <v>299</v>
      </c>
      <c r="B34" s="1098" t="s">
        <v>311</v>
      </c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</row>
    <row r="35" spans="1:12" ht="29.25" customHeight="1" thickBot="1">
      <c r="A35" s="238" t="s">
        <v>297</v>
      </c>
      <c r="B35" s="1108" t="s">
        <v>310</v>
      </c>
      <c r="C35" s="1108"/>
      <c r="D35" s="1108"/>
      <c r="E35" s="1108"/>
      <c r="F35" s="1108"/>
      <c r="G35" s="1108"/>
      <c r="H35" s="1108"/>
      <c r="I35" s="1108"/>
      <c r="J35" s="1108"/>
      <c r="K35" s="1108"/>
      <c r="L35" s="1098"/>
    </row>
    <row r="36" spans="1:12" ht="32.25" customHeight="1" thickBot="1">
      <c r="A36" s="235" t="s">
        <v>295</v>
      </c>
      <c r="B36" s="237" t="s">
        <v>294</v>
      </c>
      <c r="C36" s="1109" t="s">
        <v>293</v>
      </c>
      <c r="D36" s="1098"/>
      <c r="E36" s="236"/>
      <c r="F36" s="1109" t="s">
        <v>292</v>
      </c>
      <c r="G36" s="1108"/>
      <c r="H36" s="1108"/>
      <c r="I36" s="1098"/>
      <c r="J36" s="1108" t="s">
        <v>291</v>
      </c>
      <c r="K36" s="1108"/>
      <c r="L36" s="1108"/>
    </row>
    <row r="37" spans="1:12" ht="64.5" customHeight="1" thickBot="1">
      <c r="A37" s="235" t="s">
        <v>290</v>
      </c>
      <c r="B37" s="1116" t="s">
        <v>309</v>
      </c>
      <c r="C37" s="1117"/>
      <c r="D37" s="1117"/>
      <c r="E37" s="1117"/>
      <c r="F37" s="1117"/>
      <c r="G37" s="1117"/>
      <c r="H37" s="1117"/>
      <c r="I37" s="1117"/>
      <c r="J37" s="1117"/>
      <c r="K37" s="1117"/>
      <c r="L37" s="1117"/>
    </row>
    <row r="38" spans="1:12" ht="32.25" customHeight="1" thickBot="1">
      <c r="A38" s="235" t="s">
        <v>288</v>
      </c>
      <c r="B38" s="1094" t="s">
        <v>308</v>
      </c>
      <c r="C38" s="1095"/>
      <c r="D38" s="1095"/>
      <c r="E38" s="1095"/>
      <c r="F38" s="1095"/>
      <c r="G38" s="1095"/>
      <c r="H38" s="1095"/>
      <c r="I38" s="1095"/>
      <c r="J38" s="1095"/>
      <c r="K38" s="1095"/>
      <c r="L38" s="1095"/>
    </row>
    <row r="39" ht="0.75" customHeight="1"/>
    <row r="40" ht="20.25" customHeight="1">
      <c r="A40" s="214" t="s">
        <v>286</v>
      </c>
    </row>
    <row r="41" spans="1:12" ht="18.75" customHeight="1" thickBot="1">
      <c r="A41" s="233" t="s">
        <v>283</v>
      </c>
      <c r="L41" s="201" t="s">
        <v>285</v>
      </c>
    </row>
    <row r="42" spans="1:13" ht="27.75" customHeight="1">
      <c r="A42" s="1099" t="s">
        <v>278</v>
      </c>
      <c r="B42" s="898" t="s">
        <v>262</v>
      </c>
      <c r="C42" s="899"/>
      <c r="D42" s="899"/>
      <c r="E42" s="218"/>
      <c r="F42" s="908" t="s">
        <v>261</v>
      </c>
      <c r="G42" s="908"/>
      <c r="H42" s="908"/>
      <c r="I42" s="898" t="s">
        <v>260</v>
      </c>
      <c r="J42" s="899"/>
      <c r="K42" s="899"/>
      <c r="L42" s="900"/>
      <c r="M42" s="199" t="s">
        <v>259</v>
      </c>
    </row>
    <row r="43" spans="1:13" ht="13.5" customHeight="1">
      <c r="A43" s="1107"/>
      <c r="B43" s="901" t="s">
        <v>258</v>
      </c>
      <c r="C43" s="898" t="s">
        <v>256</v>
      </c>
      <c r="D43" s="899"/>
      <c r="E43" s="900"/>
      <c r="F43" s="901" t="s">
        <v>257</v>
      </c>
      <c r="G43" s="898" t="s">
        <v>256</v>
      </c>
      <c r="H43" s="905"/>
      <c r="I43" s="901" t="s">
        <v>257</v>
      </c>
      <c r="J43" s="910" t="s">
        <v>256</v>
      </c>
      <c r="K43" s="911"/>
      <c r="L43" s="912"/>
      <c r="M43" s="198"/>
    </row>
    <row r="44" spans="1:13" ht="79.5" thickBot="1">
      <c r="A44" s="1100"/>
      <c r="B44" s="904"/>
      <c r="C44" s="216" t="s">
        <v>252</v>
      </c>
      <c r="D44" s="216" t="s">
        <v>277</v>
      </c>
      <c r="E44" s="216" t="s">
        <v>276</v>
      </c>
      <c r="F44" s="902"/>
      <c r="G44" s="216" t="s">
        <v>275</v>
      </c>
      <c r="H44" s="216" t="s">
        <v>253</v>
      </c>
      <c r="I44" s="902"/>
      <c r="J44" s="216" t="s">
        <v>252</v>
      </c>
      <c r="K44" s="216" t="s">
        <v>251</v>
      </c>
      <c r="L44" s="216" t="s">
        <v>274</v>
      </c>
      <c r="M44" s="196"/>
    </row>
    <row r="45" spans="1:15" ht="15.75">
      <c r="A45" s="216">
        <v>2020</v>
      </c>
      <c r="B45" s="191">
        <f>C45+D45+E45</f>
        <v>87886.3</v>
      </c>
      <c r="C45" s="192">
        <f>'прил 4-1'!G47</f>
        <v>63710.4</v>
      </c>
      <c r="D45" s="192">
        <f>'прил 4-1'!H47</f>
        <v>24175.9</v>
      </c>
      <c r="E45" s="192"/>
      <c r="F45" s="192"/>
      <c r="G45" s="192"/>
      <c r="H45" s="192"/>
      <c r="I45" s="191">
        <f>J45+K45+L45</f>
        <v>720170</v>
      </c>
      <c r="J45" s="192">
        <f>'прил 4-2'!G48</f>
        <v>315883.4</v>
      </c>
      <c r="K45" s="192">
        <f>'прил 4-2'!H48</f>
        <v>404286.6</v>
      </c>
      <c r="L45" s="381"/>
      <c r="M45" s="234">
        <f>B45+I45</f>
        <v>808056.3</v>
      </c>
      <c r="O45" s="195"/>
    </row>
    <row r="46" spans="1:15" ht="15.75">
      <c r="A46" s="216">
        <v>2021</v>
      </c>
      <c r="B46" s="191">
        <f>C46+D46+E46</f>
        <v>87976.3</v>
      </c>
      <c r="C46" s="192">
        <f>C45</f>
        <v>63710.4</v>
      </c>
      <c r="D46" s="192">
        <f>D45+90</f>
        <v>24265.9</v>
      </c>
      <c r="E46" s="192"/>
      <c r="F46" s="192"/>
      <c r="G46" s="192"/>
      <c r="H46" s="192"/>
      <c r="I46" s="191">
        <f>J46+K46+L46</f>
        <v>701389.6</v>
      </c>
      <c r="J46" s="192">
        <f aca="true" t="shared" si="0" ref="J46:L47">J45</f>
        <v>315883.4</v>
      </c>
      <c r="K46" s="192">
        <f>K45-18780.4</f>
        <v>385506.19999999995</v>
      </c>
      <c r="L46" s="192">
        <f t="shared" si="0"/>
        <v>0</v>
      </c>
      <c r="M46" s="234">
        <f>B46+I46</f>
        <v>789365.9</v>
      </c>
      <c r="N46" s="378">
        <f>789365.9-M46</f>
        <v>0</v>
      </c>
      <c r="O46" s="195"/>
    </row>
    <row r="47" spans="1:15" ht="15.75">
      <c r="A47" s="216">
        <v>2022</v>
      </c>
      <c r="B47" s="191">
        <f>C47+D47+E47</f>
        <v>88174.6</v>
      </c>
      <c r="C47" s="192">
        <f>C46</f>
        <v>63710.4</v>
      </c>
      <c r="D47" s="192">
        <f>D46+198.3</f>
        <v>24464.2</v>
      </c>
      <c r="E47" s="192"/>
      <c r="F47" s="192"/>
      <c r="G47" s="192"/>
      <c r="H47" s="192"/>
      <c r="I47" s="191">
        <f>J47+K47+L47</f>
        <v>694975.1</v>
      </c>
      <c r="J47" s="192">
        <f t="shared" si="0"/>
        <v>315883.4</v>
      </c>
      <c r="K47" s="192">
        <f>K46-6414.5</f>
        <v>379091.69999999995</v>
      </c>
      <c r="L47" s="192">
        <f t="shared" si="0"/>
        <v>0</v>
      </c>
      <c r="M47" s="234">
        <f>B47+I47</f>
        <v>783149.7</v>
      </c>
      <c r="N47" s="378">
        <f>783149.7-M47</f>
        <v>0</v>
      </c>
      <c r="O47" s="195"/>
    </row>
    <row r="48" spans="2:12" ht="18.75" customHeight="1"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</row>
    <row r="49" ht="15.75">
      <c r="A49" s="233" t="s">
        <v>284</v>
      </c>
    </row>
    <row r="50" spans="1:4" ht="22.5" customHeight="1" thickBot="1">
      <c r="A50" s="233" t="s">
        <v>283</v>
      </c>
      <c r="B50" s="232"/>
      <c r="C50" s="232"/>
      <c r="D50" s="232"/>
    </row>
    <row r="51" spans="1:10" ht="15" customHeight="1">
      <c r="A51" s="1099" t="s">
        <v>282</v>
      </c>
      <c r="B51" s="1101" t="s">
        <v>281</v>
      </c>
      <c r="C51" s="1102"/>
      <c r="D51" s="1103"/>
      <c r="E51" s="1099" t="s">
        <v>69</v>
      </c>
      <c r="F51" s="244"/>
      <c r="G51" s="1110" t="s">
        <v>15</v>
      </c>
      <c r="H51" s="1111"/>
      <c r="I51" s="1112"/>
      <c r="J51" s="230"/>
    </row>
    <row r="52" spans="1:10" ht="16.5" thickBot="1">
      <c r="A52" s="1100"/>
      <c r="B52" s="1104"/>
      <c r="C52" s="1105"/>
      <c r="D52" s="1106"/>
      <c r="E52" s="1104"/>
      <c r="F52" s="216" t="s">
        <v>17</v>
      </c>
      <c r="G52" s="216" t="s">
        <v>18</v>
      </c>
      <c r="H52" s="217" t="s">
        <v>19</v>
      </c>
      <c r="I52" s="216" t="s">
        <v>20</v>
      </c>
      <c r="J52" s="224"/>
    </row>
    <row r="53" spans="1:10" ht="15.75">
      <c r="A53" s="228"/>
      <c r="B53" s="1131"/>
      <c r="C53" s="1132"/>
      <c r="D53" s="1133"/>
      <c r="E53" s="220"/>
      <c r="F53" s="220"/>
      <c r="G53" s="243"/>
      <c r="H53" s="242"/>
      <c r="I53" s="216"/>
      <c r="J53" s="224"/>
    </row>
    <row r="54" spans="1:10" ht="51">
      <c r="A54" s="226" t="s">
        <v>218</v>
      </c>
      <c r="B54" s="898" t="s">
        <v>68</v>
      </c>
      <c r="C54" s="899"/>
      <c r="D54" s="900"/>
      <c r="E54" s="216" t="s">
        <v>114</v>
      </c>
      <c r="F54" s="241">
        <v>248</v>
      </c>
      <c r="G54" s="216">
        <v>252</v>
      </c>
      <c r="H54" s="217">
        <v>277</v>
      </c>
      <c r="I54" s="216">
        <v>378</v>
      </c>
      <c r="J54" s="224"/>
    </row>
    <row r="55" spans="1:10" ht="51">
      <c r="A55" s="226" t="s">
        <v>307</v>
      </c>
      <c r="B55" s="898" t="s">
        <v>68</v>
      </c>
      <c r="C55" s="899"/>
      <c r="D55" s="900"/>
      <c r="E55" s="216" t="s">
        <v>114</v>
      </c>
      <c r="F55" s="241">
        <v>177</v>
      </c>
      <c r="G55" s="216">
        <v>298</v>
      </c>
      <c r="H55" s="217">
        <v>305</v>
      </c>
      <c r="I55" s="216">
        <v>367</v>
      </c>
      <c r="J55" s="224"/>
    </row>
    <row r="57" ht="16.5" thickBot="1"/>
    <row r="58" spans="1:12" ht="24" customHeight="1" thickBot="1">
      <c r="A58" s="240" t="s">
        <v>303</v>
      </c>
      <c r="B58" s="1098" t="s">
        <v>302</v>
      </c>
      <c r="C58" s="1095"/>
      <c r="D58" s="1095"/>
      <c r="E58" s="1095"/>
      <c r="F58" s="1095"/>
      <c r="G58" s="1095"/>
      <c r="H58" s="1095"/>
      <c r="I58" s="1095"/>
      <c r="J58" s="1095"/>
      <c r="K58" s="1095"/>
      <c r="L58" s="1095"/>
    </row>
    <row r="59" spans="1:12" ht="20.25" customHeight="1" thickBot="1">
      <c r="A59" s="235" t="s">
        <v>301</v>
      </c>
      <c r="B59" s="1098" t="s">
        <v>300</v>
      </c>
      <c r="C59" s="1095"/>
      <c r="D59" s="1095"/>
      <c r="E59" s="1095"/>
      <c r="F59" s="1095"/>
      <c r="G59" s="1095"/>
      <c r="H59" s="1095"/>
      <c r="I59" s="1095"/>
      <c r="J59" s="1095"/>
      <c r="K59" s="1095"/>
      <c r="L59" s="1095"/>
    </row>
    <row r="60" spans="1:12" ht="20.25" customHeight="1" thickBot="1">
      <c r="A60" s="239" t="s">
        <v>299</v>
      </c>
      <c r="B60" s="1098" t="s">
        <v>306</v>
      </c>
      <c r="C60" s="1095"/>
      <c r="D60" s="1095"/>
      <c r="E60" s="1095"/>
      <c r="F60" s="1095"/>
      <c r="G60" s="1095"/>
      <c r="H60" s="1095"/>
      <c r="I60" s="1095"/>
      <c r="J60" s="1095"/>
      <c r="K60" s="1095"/>
      <c r="L60" s="1095"/>
    </row>
    <row r="61" spans="1:12" ht="29.25" customHeight="1" thickBot="1">
      <c r="A61" s="238" t="s">
        <v>297</v>
      </c>
      <c r="B61" s="1108" t="s">
        <v>305</v>
      </c>
      <c r="C61" s="1108"/>
      <c r="D61" s="1108"/>
      <c r="E61" s="1108"/>
      <c r="F61" s="1108"/>
      <c r="G61" s="1108"/>
      <c r="H61" s="1108"/>
      <c r="I61" s="1108"/>
      <c r="J61" s="1108"/>
      <c r="K61" s="1108"/>
      <c r="L61" s="1098"/>
    </row>
    <row r="62" spans="1:12" ht="32.25" customHeight="1" thickBot="1">
      <c r="A62" s="235" t="s">
        <v>295</v>
      </c>
      <c r="B62" s="237" t="s">
        <v>294</v>
      </c>
      <c r="C62" s="1109" t="s">
        <v>293</v>
      </c>
      <c r="D62" s="1098"/>
      <c r="E62" s="236"/>
      <c r="F62" s="1109" t="s">
        <v>292</v>
      </c>
      <c r="G62" s="1108"/>
      <c r="H62" s="1108"/>
      <c r="I62" s="1098"/>
      <c r="J62" s="1108" t="s">
        <v>291</v>
      </c>
      <c r="K62" s="1108"/>
      <c r="L62" s="1108"/>
    </row>
    <row r="63" spans="1:12" ht="64.5" customHeight="1" thickBot="1">
      <c r="A63" s="235" t="s">
        <v>290</v>
      </c>
      <c r="B63" s="1116" t="s">
        <v>304</v>
      </c>
      <c r="C63" s="1117"/>
      <c r="D63" s="1117"/>
      <c r="E63" s="1117"/>
      <c r="F63" s="1117"/>
      <c r="G63" s="1117"/>
      <c r="H63" s="1117"/>
      <c r="I63" s="1117"/>
      <c r="J63" s="1117"/>
      <c r="K63" s="1117"/>
      <c r="L63" s="1117"/>
    </row>
    <row r="64" spans="1:12" ht="32.25" customHeight="1" thickBot="1">
      <c r="A64" s="235" t="s">
        <v>288</v>
      </c>
      <c r="B64" s="1094" t="s">
        <v>287</v>
      </c>
      <c r="C64" s="1095"/>
      <c r="D64" s="1095"/>
      <c r="E64" s="1095"/>
      <c r="F64" s="1095"/>
      <c r="G64" s="1095"/>
      <c r="H64" s="1095"/>
      <c r="I64" s="1095"/>
      <c r="J64" s="1095"/>
      <c r="K64" s="1095"/>
      <c r="L64" s="1095"/>
    </row>
    <row r="65" ht="0.75" customHeight="1"/>
    <row r="66" ht="20.25" customHeight="1">
      <c r="A66" s="214" t="s">
        <v>286</v>
      </c>
    </row>
    <row r="67" spans="1:12" ht="18.75" customHeight="1" thickBot="1">
      <c r="A67" s="233" t="s">
        <v>283</v>
      </c>
      <c r="L67" s="201" t="s">
        <v>285</v>
      </c>
    </row>
    <row r="68" spans="1:13" ht="27.75" customHeight="1">
      <c r="A68" s="1099" t="s">
        <v>278</v>
      </c>
      <c r="B68" s="898" t="s">
        <v>262</v>
      </c>
      <c r="C68" s="899"/>
      <c r="D68" s="899"/>
      <c r="E68" s="218"/>
      <c r="F68" s="908" t="s">
        <v>261</v>
      </c>
      <c r="G68" s="908"/>
      <c r="H68" s="908"/>
      <c r="I68" s="898" t="s">
        <v>260</v>
      </c>
      <c r="J68" s="899"/>
      <c r="K68" s="899"/>
      <c r="L68" s="900"/>
      <c r="M68" s="199" t="s">
        <v>259</v>
      </c>
    </row>
    <row r="69" spans="1:13" ht="13.5" customHeight="1">
      <c r="A69" s="1107"/>
      <c r="B69" s="901" t="s">
        <v>258</v>
      </c>
      <c r="C69" s="898" t="s">
        <v>256</v>
      </c>
      <c r="D69" s="899"/>
      <c r="E69" s="900"/>
      <c r="F69" s="901" t="s">
        <v>257</v>
      </c>
      <c r="G69" s="898" t="s">
        <v>256</v>
      </c>
      <c r="H69" s="905"/>
      <c r="I69" s="901" t="s">
        <v>257</v>
      </c>
      <c r="J69" s="910" t="s">
        <v>256</v>
      </c>
      <c r="K69" s="911"/>
      <c r="L69" s="912"/>
      <c r="M69" s="198"/>
    </row>
    <row r="70" spans="1:13" ht="79.5" thickBot="1">
      <c r="A70" s="1100"/>
      <c r="B70" s="904"/>
      <c r="C70" s="216" t="s">
        <v>252</v>
      </c>
      <c r="D70" s="216" t="s">
        <v>277</v>
      </c>
      <c r="E70" s="216" t="s">
        <v>276</v>
      </c>
      <c r="F70" s="902"/>
      <c r="G70" s="216" t="s">
        <v>275</v>
      </c>
      <c r="H70" s="216" t="s">
        <v>253</v>
      </c>
      <c r="I70" s="902"/>
      <c r="J70" s="216" t="s">
        <v>252</v>
      </c>
      <c r="K70" s="216" t="s">
        <v>251</v>
      </c>
      <c r="L70" s="216" t="s">
        <v>274</v>
      </c>
      <c r="M70" s="196"/>
    </row>
    <row r="71" spans="1:13" ht="15.75">
      <c r="A71" s="216">
        <v>2020</v>
      </c>
      <c r="B71" s="191">
        <f>C71+D71+E71</f>
        <v>78384.90000000001</v>
      </c>
      <c r="C71" s="192">
        <f>'прил 4-1'!G48</f>
        <v>70371.8</v>
      </c>
      <c r="D71" s="192">
        <f>'прил 4-1'!H48</f>
        <v>8013.1</v>
      </c>
      <c r="E71" s="192"/>
      <c r="F71" s="192"/>
      <c r="G71" s="192"/>
      <c r="H71" s="192"/>
      <c r="I71" s="191">
        <f>J71+K71+L71</f>
        <v>66011.5</v>
      </c>
      <c r="J71" s="192">
        <f>'прил 4-2'!G49</f>
        <v>46321.700000000004</v>
      </c>
      <c r="K71" s="192">
        <f>'прил 4-2'!H49</f>
        <v>15465</v>
      </c>
      <c r="L71" s="192">
        <f>'прил 4-2'!N49</f>
        <v>4224.8</v>
      </c>
      <c r="M71" s="234">
        <f>B71+I71</f>
        <v>144396.40000000002</v>
      </c>
    </row>
    <row r="72" spans="1:13" ht="15.75">
      <c r="A72" s="216">
        <v>2021</v>
      </c>
      <c r="B72" s="191">
        <f>C72+D72+E72</f>
        <v>78384.90000000001</v>
      </c>
      <c r="C72" s="192">
        <f>C71</f>
        <v>70371.8</v>
      </c>
      <c r="D72" s="192">
        <f>D71</f>
        <v>8013.1</v>
      </c>
      <c r="E72" s="192"/>
      <c r="F72" s="192"/>
      <c r="G72" s="192"/>
      <c r="H72" s="192"/>
      <c r="I72" s="191">
        <f>J72+K72+L72</f>
        <v>66011.5</v>
      </c>
      <c r="J72" s="192">
        <f aca="true" t="shared" si="1" ref="J72:L73">J71</f>
        <v>46321.700000000004</v>
      </c>
      <c r="K72" s="192">
        <f t="shared" si="1"/>
        <v>15465</v>
      </c>
      <c r="L72" s="192">
        <f t="shared" si="1"/>
        <v>4224.8</v>
      </c>
      <c r="M72" s="234">
        <f>B72+I72</f>
        <v>144396.40000000002</v>
      </c>
    </row>
    <row r="73" spans="1:13" ht="15.75">
      <c r="A73" s="216">
        <v>2022</v>
      </c>
      <c r="B73" s="191">
        <f>C73+D73+E73</f>
        <v>78384.90000000001</v>
      </c>
      <c r="C73" s="192">
        <f>C72</f>
        <v>70371.8</v>
      </c>
      <c r="D73" s="192">
        <f>D72</f>
        <v>8013.1</v>
      </c>
      <c r="E73" s="192"/>
      <c r="F73" s="192"/>
      <c r="G73" s="192"/>
      <c r="H73" s="192"/>
      <c r="I73" s="191">
        <f>J73+K73+L73</f>
        <v>66011.5</v>
      </c>
      <c r="J73" s="192">
        <f t="shared" si="1"/>
        <v>46321.700000000004</v>
      </c>
      <c r="K73" s="192">
        <f t="shared" si="1"/>
        <v>15465</v>
      </c>
      <c r="L73" s="192">
        <f t="shared" si="1"/>
        <v>4224.8</v>
      </c>
      <c r="M73" s="234">
        <f>B73+I73</f>
        <v>144396.40000000002</v>
      </c>
    </row>
    <row r="74" spans="2:12" ht="13.5" customHeight="1"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</row>
    <row r="75" spans="2:12" ht="13.5" customHeight="1"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</row>
    <row r="76" ht="15.75">
      <c r="A76" s="233" t="s">
        <v>284</v>
      </c>
    </row>
    <row r="77" spans="1:4" ht="22.5" customHeight="1" thickBot="1">
      <c r="A77" s="233" t="s">
        <v>283</v>
      </c>
      <c r="B77" s="232"/>
      <c r="C77" s="232"/>
      <c r="D77" s="232"/>
    </row>
    <row r="78" spans="1:10" ht="15.75" customHeight="1">
      <c r="A78" s="1099" t="s">
        <v>282</v>
      </c>
      <c r="B78" s="1101" t="s">
        <v>281</v>
      </c>
      <c r="C78" s="1102"/>
      <c r="D78" s="1103"/>
      <c r="E78" s="1101" t="s">
        <v>69</v>
      </c>
      <c r="F78" s="898" t="s">
        <v>15</v>
      </c>
      <c r="G78" s="899"/>
      <c r="H78" s="899"/>
      <c r="I78" s="900"/>
      <c r="J78" s="230"/>
    </row>
    <row r="79" spans="1:10" ht="16.5" thickBot="1">
      <c r="A79" s="1100"/>
      <c r="B79" s="1104"/>
      <c r="C79" s="1105"/>
      <c r="D79" s="1106"/>
      <c r="E79" s="1104"/>
      <c r="F79" s="216" t="s">
        <v>17</v>
      </c>
      <c r="G79" s="216" t="s">
        <v>18</v>
      </c>
      <c r="H79" s="216" t="s">
        <v>19</v>
      </c>
      <c r="I79" s="216" t="s">
        <v>20</v>
      </c>
      <c r="J79" s="224"/>
    </row>
    <row r="80" spans="1:10" ht="39" thickBot="1">
      <c r="A80" s="228" t="s">
        <v>221</v>
      </c>
      <c r="B80" s="1131" t="s">
        <v>279</v>
      </c>
      <c r="C80" s="1132"/>
      <c r="D80" s="1133"/>
      <c r="E80" s="220" t="s">
        <v>114</v>
      </c>
      <c r="F80" s="243">
        <v>348</v>
      </c>
      <c r="G80" s="220">
        <v>367</v>
      </c>
      <c r="H80" s="242">
        <v>353</v>
      </c>
      <c r="I80" s="220">
        <v>345</v>
      </c>
      <c r="J80" s="224"/>
    </row>
    <row r="81" spans="1:10" ht="51.75" thickBot="1">
      <c r="A81" s="226" t="s">
        <v>222</v>
      </c>
      <c r="B81" s="1131" t="s">
        <v>279</v>
      </c>
      <c r="C81" s="1132"/>
      <c r="D81" s="1133"/>
      <c r="E81" s="216" t="s">
        <v>114</v>
      </c>
      <c r="F81" s="241">
        <v>11120</v>
      </c>
      <c r="G81" s="216">
        <v>11643</v>
      </c>
      <c r="H81" s="217">
        <v>11987</v>
      </c>
      <c r="I81" s="216">
        <v>12102</v>
      </c>
      <c r="J81" s="224"/>
    </row>
    <row r="82" spans="1:10" ht="51">
      <c r="A82" s="226" t="s">
        <v>223</v>
      </c>
      <c r="B82" s="1131" t="s">
        <v>279</v>
      </c>
      <c r="C82" s="1132"/>
      <c r="D82" s="1133"/>
      <c r="E82" s="216" t="s">
        <v>224</v>
      </c>
      <c r="F82" s="241">
        <v>50</v>
      </c>
      <c r="G82" s="216">
        <v>50</v>
      </c>
      <c r="H82" s="217">
        <v>50</v>
      </c>
      <c r="I82" s="216">
        <v>50</v>
      </c>
      <c r="J82" s="224"/>
    </row>
    <row r="84" ht="16.5" thickBot="1"/>
    <row r="85" spans="1:12" ht="24" customHeight="1" thickBot="1">
      <c r="A85" s="240" t="s">
        <v>303</v>
      </c>
      <c r="B85" s="1098" t="s">
        <v>302</v>
      </c>
      <c r="C85" s="1095"/>
      <c r="D85" s="1095"/>
      <c r="E85" s="1095"/>
      <c r="F85" s="1095"/>
      <c r="G85" s="1095"/>
      <c r="H85" s="1095"/>
      <c r="I85" s="1095"/>
      <c r="J85" s="1095"/>
      <c r="K85" s="1095"/>
      <c r="L85" s="1095"/>
    </row>
    <row r="86" spans="1:12" ht="20.25" customHeight="1" thickBot="1">
      <c r="A86" s="235" t="s">
        <v>301</v>
      </c>
      <c r="B86" s="1098" t="s">
        <v>300</v>
      </c>
      <c r="C86" s="1095"/>
      <c r="D86" s="1095"/>
      <c r="E86" s="1095"/>
      <c r="F86" s="1095"/>
      <c r="G86" s="1095"/>
      <c r="H86" s="1095"/>
      <c r="I86" s="1095"/>
      <c r="J86" s="1095"/>
      <c r="K86" s="1095"/>
      <c r="L86" s="1095"/>
    </row>
    <row r="87" spans="1:12" ht="20.25" customHeight="1" thickBot="1">
      <c r="A87" s="239" t="s">
        <v>299</v>
      </c>
      <c r="B87" s="1098" t="s">
        <v>298</v>
      </c>
      <c r="C87" s="1095"/>
      <c r="D87" s="1095"/>
      <c r="E87" s="1095"/>
      <c r="F87" s="1095"/>
      <c r="G87" s="1095"/>
      <c r="H87" s="1095"/>
      <c r="I87" s="1095"/>
      <c r="J87" s="1095"/>
      <c r="K87" s="1095"/>
      <c r="L87" s="1095"/>
    </row>
    <row r="88" spans="1:12" ht="29.25" customHeight="1" thickBot="1">
      <c r="A88" s="238" t="s">
        <v>297</v>
      </c>
      <c r="B88" s="1108" t="s">
        <v>296</v>
      </c>
      <c r="C88" s="1108"/>
      <c r="D88" s="1108"/>
      <c r="E88" s="1108"/>
      <c r="F88" s="1108"/>
      <c r="G88" s="1108"/>
      <c r="H88" s="1108"/>
      <c r="I88" s="1108"/>
      <c r="J88" s="1108"/>
      <c r="K88" s="1108"/>
      <c r="L88" s="1098"/>
    </row>
    <row r="89" spans="1:12" ht="32.25" customHeight="1" thickBot="1">
      <c r="A89" s="235" t="s">
        <v>295</v>
      </c>
      <c r="B89" s="237" t="s">
        <v>294</v>
      </c>
      <c r="C89" s="1109" t="s">
        <v>293</v>
      </c>
      <c r="D89" s="1098"/>
      <c r="E89" s="236"/>
      <c r="F89" s="1109" t="s">
        <v>292</v>
      </c>
      <c r="G89" s="1108"/>
      <c r="H89" s="1108"/>
      <c r="I89" s="1098"/>
      <c r="J89" s="1108" t="s">
        <v>291</v>
      </c>
      <c r="K89" s="1108"/>
      <c r="L89" s="1108"/>
    </row>
    <row r="90" spans="1:12" ht="64.5" customHeight="1" thickBot="1">
      <c r="A90" s="235" t="s">
        <v>290</v>
      </c>
      <c r="B90" s="1116" t="s">
        <v>289</v>
      </c>
      <c r="C90" s="1117"/>
      <c r="D90" s="1117"/>
      <c r="E90" s="1117"/>
      <c r="F90" s="1117"/>
      <c r="G90" s="1117"/>
      <c r="H90" s="1117"/>
      <c r="I90" s="1117"/>
      <c r="J90" s="1117"/>
      <c r="K90" s="1117"/>
      <c r="L90" s="1117"/>
    </row>
    <row r="91" spans="1:12" ht="32.25" customHeight="1" thickBot="1">
      <c r="A91" s="235" t="s">
        <v>288</v>
      </c>
      <c r="B91" s="1094" t="s">
        <v>287</v>
      </c>
      <c r="C91" s="1095"/>
      <c r="D91" s="1095"/>
      <c r="E91" s="1095"/>
      <c r="F91" s="1095"/>
      <c r="G91" s="1095"/>
      <c r="H91" s="1095"/>
      <c r="I91" s="1095"/>
      <c r="J91" s="1095"/>
      <c r="K91" s="1095"/>
      <c r="L91" s="1095"/>
    </row>
    <row r="92" ht="0.75" customHeight="1"/>
    <row r="93" ht="20.25" customHeight="1">
      <c r="A93" s="214" t="s">
        <v>286</v>
      </c>
    </row>
    <row r="94" spans="1:12" ht="18.75" customHeight="1" thickBot="1">
      <c r="A94" s="233" t="s">
        <v>283</v>
      </c>
      <c r="L94" s="201" t="s">
        <v>285</v>
      </c>
    </row>
    <row r="95" spans="1:13" ht="27.75" customHeight="1">
      <c r="A95" s="1099" t="s">
        <v>278</v>
      </c>
      <c r="B95" s="898" t="s">
        <v>262</v>
      </c>
      <c r="C95" s="899"/>
      <c r="D95" s="899"/>
      <c r="E95" s="218"/>
      <c r="F95" s="908" t="s">
        <v>261</v>
      </c>
      <c r="G95" s="908"/>
      <c r="H95" s="908"/>
      <c r="I95" s="898" t="s">
        <v>260</v>
      </c>
      <c r="J95" s="899"/>
      <c r="K95" s="899"/>
      <c r="L95" s="900"/>
      <c r="M95" s="199" t="s">
        <v>259</v>
      </c>
    </row>
    <row r="96" spans="1:13" ht="13.5" customHeight="1">
      <c r="A96" s="1107"/>
      <c r="B96" s="901" t="s">
        <v>258</v>
      </c>
      <c r="C96" s="898" t="s">
        <v>256</v>
      </c>
      <c r="D96" s="899"/>
      <c r="E96" s="900"/>
      <c r="F96" s="901" t="s">
        <v>257</v>
      </c>
      <c r="G96" s="898" t="s">
        <v>256</v>
      </c>
      <c r="H96" s="905"/>
      <c r="I96" s="901" t="s">
        <v>257</v>
      </c>
      <c r="J96" s="910" t="s">
        <v>256</v>
      </c>
      <c r="K96" s="911"/>
      <c r="L96" s="912"/>
      <c r="M96" s="198"/>
    </row>
    <row r="97" spans="1:13" ht="95.25" thickBot="1">
      <c r="A97" s="1100"/>
      <c r="B97" s="904"/>
      <c r="C97" s="216" t="s">
        <v>252</v>
      </c>
      <c r="D97" s="216" t="s">
        <v>277</v>
      </c>
      <c r="E97" s="216" t="s">
        <v>276</v>
      </c>
      <c r="F97" s="902"/>
      <c r="G97" s="216" t="s">
        <v>275</v>
      </c>
      <c r="H97" s="216" t="s">
        <v>253</v>
      </c>
      <c r="I97" s="902"/>
      <c r="J97" s="216" t="s">
        <v>252</v>
      </c>
      <c r="K97" s="216" t="s">
        <v>251</v>
      </c>
      <c r="L97" s="216" t="s">
        <v>274</v>
      </c>
      <c r="M97" s="196"/>
    </row>
    <row r="98" spans="1:13" ht="15.75">
      <c r="A98" s="216">
        <v>2020</v>
      </c>
      <c r="B98" s="191">
        <f>C98+D98+E98</f>
        <v>121087.9</v>
      </c>
      <c r="C98" s="192">
        <f>'прил 4-1'!G49</f>
        <v>95442.7</v>
      </c>
      <c r="D98" s="192">
        <f>'прил 4-1'!H49</f>
        <v>25645.2</v>
      </c>
      <c r="E98" s="192"/>
      <c r="F98" s="192"/>
      <c r="G98" s="192"/>
      <c r="H98" s="192"/>
      <c r="I98" s="191">
        <f>J98+K98+L98</f>
        <v>111360</v>
      </c>
      <c r="J98" s="192">
        <f>'прил 4-2'!G50</f>
        <v>82237.3</v>
      </c>
      <c r="K98" s="192">
        <f>'прил 4-2'!H50</f>
        <v>24032.7</v>
      </c>
      <c r="L98" s="381">
        <f>'прил 4-2'!N50</f>
        <v>5090</v>
      </c>
      <c r="M98" s="234">
        <f>B98+F98+I98</f>
        <v>232447.9</v>
      </c>
    </row>
    <row r="99" spans="1:13" ht="15.75">
      <c r="A99" s="216">
        <v>2021</v>
      </c>
      <c r="B99" s="191">
        <f>C99+D99+E99</f>
        <v>121087.9</v>
      </c>
      <c r="C99" s="192">
        <f>C98</f>
        <v>95442.7</v>
      </c>
      <c r="D99" s="192">
        <f>D98</f>
        <v>25645.2</v>
      </c>
      <c r="E99" s="192"/>
      <c r="F99" s="192"/>
      <c r="G99" s="192"/>
      <c r="H99" s="192"/>
      <c r="I99" s="191">
        <f>J99+K99+L99</f>
        <v>111360</v>
      </c>
      <c r="J99" s="192">
        <f aca="true" t="shared" si="2" ref="J99:L100">J98</f>
        <v>82237.3</v>
      </c>
      <c r="K99" s="192">
        <f t="shared" si="2"/>
        <v>24032.7</v>
      </c>
      <c r="L99" s="192">
        <f t="shared" si="2"/>
        <v>5090</v>
      </c>
      <c r="M99" s="234">
        <f>B99+F99+I99</f>
        <v>232447.9</v>
      </c>
    </row>
    <row r="100" spans="1:13" ht="13.5" customHeight="1">
      <c r="A100" s="255">
        <v>2022</v>
      </c>
      <c r="B100" s="191">
        <f>C100+D100+E100</f>
        <v>121087.9</v>
      </c>
      <c r="C100" s="192">
        <f>C99</f>
        <v>95442.7</v>
      </c>
      <c r="D100" s="192">
        <f>D99</f>
        <v>25645.2</v>
      </c>
      <c r="E100" s="216"/>
      <c r="F100" s="216"/>
      <c r="G100" s="216"/>
      <c r="H100" s="216"/>
      <c r="I100" s="191">
        <f>J100+K100+L100</f>
        <v>111360</v>
      </c>
      <c r="J100" s="192">
        <f t="shared" si="2"/>
        <v>82237.3</v>
      </c>
      <c r="K100" s="192">
        <f t="shared" si="2"/>
        <v>24032.7</v>
      </c>
      <c r="L100" s="192">
        <f t="shared" si="2"/>
        <v>5090</v>
      </c>
      <c r="M100" s="234">
        <f>B100+F100+I100</f>
        <v>232447.9</v>
      </c>
    </row>
    <row r="101" spans="2:12" ht="24" customHeight="1"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</row>
    <row r="102" ht="15.75">
      <c r="A102" s="233" t="s">
        <v>284</v>
      </c>
    </row>
    <row r="103" spans="1:4" ht="22.5" customHeight="1" thickBot="1">
      <c r="A103" s="233" t="s">
        <v>283</v>
      </c>
      <c r="B103" s="232"/>
      <c r="C103" s="232"/>
      <c r="D103" s="232"/>
    </row>
    <row r="104" spans="1:10" ht="15.75" customHeight="1">
      <c r="A104" s="1099" t="s">
        <v>282</v>
      </c>
      <c r="B104" s="1101" t="s">
        <v>281</v>
      </c>
      <c r="C104" s="1102"/>
      <c r="D104" s="1103"/>
      <c r="E104" s="1099" t="s">
        <v>69</v>
      </c>
      <c r="F104" s="231"/>
      <c r="G104" s="908" t="s">
        <v>15</v>
      </c>
      <c r="H104" s="908"/>
      <c r="I104" s="908"/>
      <c r="J104" s="230"/>
    </row>
    <row r="105" spans="1:10" ht="16.5" thickBot="1">
      <c r="A105" s="1100"/>
      <c r="B105" s="1104"/>
      <c r="C105" s="1105"/>
      <c r="D105" s="1106"/>
      <c r="E105" s="1100"/>
      <c r="F105" s="229" t="s">
        <v>17</v>
      </c>
      <c r="G105" s="216" t="s">
        <v>18</v>
      </c>
      <c r="H105" s="216" t="s">
        <v>19</v>
      </c>
      <c r="I105" s="216" t="s">
        <v>20</v>
      </c>
      <c r="J105" s="224"/>
    </row>
    <row r="106" spans="1:10" ht="38.25">
      <c r="A106" s="228" t="s">
        <v>227</v>
      </c>
      <c r="B106" s="1131" t="s">
        <v>68</v>
      </c>
      <c r="C106" s="1132"/>
      <c r="D106" s="1133"/>
      <c r="E106" s="220" t="s">
        <v>114</v>
      </c>
      <c r="F106" s="227">
        <v>1519</v>
      </c>
      <c r="G106" s="216">
        <v>1110</v>
      </c>
      <c r="H106" s="216">
        <v>900</v>
      </c>
      <c r="I106" s="216">
        <v>900</v>
      </c>
      <c r="J106" s="224"/>
    </row>
    <row r="107" spans="1:10" ht="51">
      <c r="A107" s="226" t="s">
        <v>280</v>
      </c>
      <c r="B107" s="898" t="s">
        <v>279</v>
      </c>
      <c r="C107" s="899"/>
      <c r="D107" s="900"/>
      <c r="E107" s="216" t="s">
        <v>224</v>
      </c>
      <c r="F107" s="225">
        <v>392</v>
      </c>
      <c r="G107" s="216">
        <v>392</v>
      </c>
      <c r="H107" s="216">
        <v>392</v>
      </c>
      <c r="I107" s="216">
        <v>392</v>
      </c>
      <c r="J107" s="224"/>
    </row>
    <row r="110" ht="16.5" thickBot="1"/>
    <row r="111" spans="1:15" ht="27.75" customHeight="1">
      <c r="A111" s="1118" t="s">
        <v>278</v>
      </c>
      <c r="B111" s="1120" t="s">
        <v>262</v>
      </c>
      <c r="C111" s="1121"/>
      <c r="D111" s="1121"/>
      <c r="E111" s="616"/>
      <c r="F111" s="1122" t="s">
        <v>261</v>
      </c>
      <c r="G111" s="1122"/>
      <c r="H111" s="1122"/>
      <c r="I111" s="1120" t="s">
        <v>260</v>
      </c>
      <c r="J111" s="1121"/>
      <c r="K111" s="1121"/>
      <c r="L111" s="1123"/>
      <c r="M111" s="617" t="s">
        <v>259</v>
      </c>
      <c r="N111" s="618"/>
      <c r="O111" s="618"/>
    </row>
    <row r="112" spans="1:15" ht="13.5" customHeight="1">
      <c r="A112" s="1119"/>
      <c r="B112" s="1124" t="s">
        <v>258</v>
      </c>
      <c r="C112" s="1120" t="s">
        <v>256</v>
      </c>
      <c r="D112" s="1121"/>
      <c r="E112" s="1123"/>
      <c r="F112" s="1124" t="s">
        <v>257</v>
      </c>
      <c r="G112" s="1120" t="s">
        <v>256</v>
      </c>
      <c r="H112" s="1127"/>
      <c r="I112" s="1124" t="s">
        <v>257</v>
      </c>
      <c r="J112" s="1128" t="s">
        <v>256</v>
      </c>
      <c r="K112" s="1129"/>
      <c r="L112" s="1130"/>
      <c r="M112" s="619"/>
      <c r="N112" s="618"/>
      <c r="O112" s="618"/>
    </row>
    <row r="113" spans="1:15" ht="94.5">
      <c r="A113" s="1119"/>
      <c r="B113" s="1125"/>
      <c r="C113" s="620" t="s">
        <v>252</v>
      </c>
      <c r="D113" s="620" t="s">
        <v>277</v>
      </c>
      <c r="E113" s="620" t="s">
        <v>276</v>
      </c>
      <c r="F113" s="1126"/>
      <c r="G113" s="620" t="s">
        <v>275</v>
      </c>
      <c r="H113" s="620" t="s">
        <v>253</v>
      </c>
      <c r="I113" s="1126"/>
      <c r="J113" s="620" t="s">
        <v>252</v>
      </c>
      <c r="K113" s="620" t="s">
        <v>251</v>
      </c>
      <c r="L113" s="620" t="s">
        <v>274</v>
      </c>
      <c r="M113" s="621"/>
      <c r="N113" s="618"/>
      <c r="O113" s="618"/>
    </row>
    <row r="114" spans="1:15" ht="15.75">
      <c r="A114" s="622">
        <v>2020</v>
      </c>
      <c r="B114" s="221">
        <f aca="true" t="shared" si="3" ref="B114:D116">B19+B45+B71+B98</f>
        <v>314551.80000000005</v>
      </c>
      <c r="C114" s="623">
        <f t="shared" si="3"/>
        <v>256717.60000000003</v>
      </c>
      <c r="D114" s="623">
        <f t="shared" si="3"/>
        <v>57834.2</v>
      </c>
      <c r="E114" s="623"/>
      <c r="F114" s="623"/>
      <c r="G114" s="623"/>
      <c r="H114" s="623"/>
      <c r="I114" s="221">
        <f aca="true" t="shared" si="4" ref="I114:L116">I19+I45+I71+I98</f>
        <v>897541.5</v>
      </c>
      <c r="J114" s="623">
        <f t="shared" si="4"/>
        <v>444442.4</v>
      </c>
      <c r="K114" s="623">
        <f t="shared" si="4"/>
        <v>443784.3</v>
      </c>
      <c r="L114" s="623">
        <f t="shared" si="4"/>
        <v>9314.8</v>
      </c>
      <c r="M114" s="624">
        <f>B114+I114</f>
        <v>1212093.3</v>
      </c>
      <c r="N114" s="618"/>
      <c r="O114" s="625"/>
    </row>
    <row r="115" spans="1:15" ht="15.75">
      <c r="A115" s="622">
        <v>2021</v>
      </c>
      <c r="B115" s="221">
        <f t="shared" si="3"/>
        <v>314641.80000000005</v>
      </c>
      <c r="C115" s="623">
        <f t="shared" si="3"/>
        <v>256717.60000000003</v>
      </c>
      <c r="D115" s="623">
        <f t="shared" si="3"/>
        <v>57924.2</v>
      </c>
      <c r="E115" s="623"/>
      <c r="F115" s="623"/>
      <c r="G115" s="623"/>
      <c r="H115" s="623"/>
      <c r="I115" s="221">
        <f t="shared" si="4"/>
        <v>878761.1</v>
      </c>
      <c r="J115" s="623">
        <f t="shared" si="4"/>
        <v>444442.4</v>
      </c>
      <c r="K115" s="623">
        <f t="shared" si="4"/>
        <v>425003.89999999997</v>
      </c>
      <c r="L115" s="623">
        <f t="shared" si="4"/>
        <v>9314.8</v>
      </c>
      <c r="M115" s="624">
        <f>B115+I115</f>
        <v>1193402.9</v>
      </c>
      <c r="N115" s="618"/>
      <c r="O115" s="625"/>
    </row>
    <row r="116" spans="1:15" ht="15.75">
      <c r="A116" s="626">
        <v>2022</v>
      </c>
      <c r="B116" s="221">
        <f t="shared" si="3"/>
        <v>314840.1</v>
      </c>
      <c r="C116" s="623">
        <f t="shared" si="3"/>
        <v>256717.60000000003</v>
      </c>
      <c r="D116" s="623">
        <f t="shared" si="3"/>
        <v>58122.5</v>
      </c>
      <c r="E116" s="627"/>
      <c r="F116" s="627"/>
      <c r="G116" s="627"/>
      <c r="H116" s="627"/>
      <c r="I116" s="221">
        <f t="shared" si="4"/>
        <v>872346.6</v>
      </c>
      <c r="J116" s="623">
        <f t="shared" si="4"/>
        <v>444442.4</v>
      </c>
      <c r="K116" s="623">
        <f t="shared" si="4"/>
        <v>418589.39999999997</v>
      </c>
      <c r="L116" s="623">
        <f t="shared" si="4"/>
        <v>9314.8</v>
      </c>
      <c r="M116" s="624">
        <f>B116+I116</f>
        <v>1187186.7</v>
      </c>
      <c r="N116" s="618"/>
      <c r="O116" s="625"/>
    </row>
    <row r="117" spans="1:15" ht="15.75">
      <c r="A117" s="618"/>
      <c r="B117" s="618"/>
      <c r="C117" s="618"/>
      <c r="D117" s="618"/>
      <c r="E117" s="618"/>
      <c r="F117" s="618"/>
      <c r="G117" s="618"/>
      <c r="H117" s="618"/>
      <c r="I117" s="618"/>
      <c r="J117" s="618"/>
      <c r="K117" s="618"/>
      <c r="L117" s="618"/>
      <c r="M117" s="618"/>
      <c r="N117" s="618"/>
      <c r="O117" s="618"/>
    </row>
    <row r="118" spans="1:15" ht="15.75">
      <c r="A118" s="618"/>
      <c r="B118" s="628"/>
      <c r="C118" s="628"/>
      <c r="D118" s="628"/>
      <c r="E118" s="628"/>
      <c r="F118" s="618"/>
      <c r="G118" s="618"/>
      <c r="H118" s="618"/>
      <c r="I118" s="628"/>
      <c r="J118" s="628"/>
      <c r="K118" s="628"/>
      <c r="L118" s="628"/>
      <c r="M118" s="628"/>
      <c r="N118" s="618"/>
      <c r="O118" s="618"/>
    </row>
    <row r="120" spans="2:13" ht="15.75">
      <c r="B120" s="223"/>
      <c r="C120" s="223"/>
      <c r="D120" s="223"/>
      <c r="E120" s="223"/>
      <c r="I120" s="223"/>
      <c r="J120" s="223"/>
      <c r="K120" s="223"/>
      <c r="L120" s="223"/>
      <c r="M120" s="223"/>
    </row>
    <row r="122" spans="2:13" ht="15.75">
      <c r="B122" s="223"/>
      <c r="C122" s="223"/>
      <c r="D122" s="223"/>
      <c r="I122" s="223"/>
      <c r="J122" s="223"/>
      <c r="K122" s="223"/>
      <c r="L122" s="223"/>
      <c r="M122" s="223"/>
    </row>
    <row r="123" spans="3:12" ht="15.75">
      <c r="C123" s="195"/>
      <c r="D123" s="195"/>
      <c r="E123" s="195"/>
      <c r="J123" s="195"/>
      <c r="K123" s="195"/>
      <c r="L123" s="195"/>
    </row>
    <row r="124" spans="3:12" ht="15.75">
      <c r="C124" s="195"/>
      <c r="D124" s="195"/>
      <c r="E124" s="195"/>
      <c r="J124" s="195"/>
      <c r="K124" s="195"/>
      <c r="L124" s="195"/>
    </row>
    <row r="125" spans="3:12" ht="15.75">
      <c r="C125" s="195"/>
      <c r="D125" s="195"/>
      <c r="E125" s="195"/>
      <c r="J125" s="195"/>
      <c r="K125" s="195"/>
      <c r="L125" s="195"/>
    </row>
  </sheetData>
  <sheetProtection/>
  <mergeCells count="117">
    <mergeCell ref="B107:D107"/>
    <mergeCell ref="B27:D27"/>
    <mergeCell ref="B28:D28"/>
    <mergeCell ref="B29:D29"/>
    <mergeCell ref="B53:D53"/>
    <mergeCell ref="B54:D54"/>
    <mergeCell ref="B55:D55"/>
    <mergeCell ref="B80:D80"/>
    <mergeCell ref="B69:B70"/>
    <mergeCell ref="B86:L86"/>
    <mergeCell ref="B87:L87"/>
    <mergeCell ref="B88:L88"/>
    <mergeCell ref="C89:D89"/>
    <mergeCell ref="F89:I89"/>
    <mergeCell ref="J89:L89"/>
    <mergeCell ref="B58:L58"/>
    <mergeCell ref="B59:L59"/>
    <mergeCell ref="B60:L60"/>
    <mergeCell ref="B61:L61"/>
    <mergeCell ref="B81:D81"/>
    <mergeCell ref="B85:L85"/>
    <mergeCell ref="B82:D82"/>
    <mergeCell ref="C69:E69"/>
    <mergeCell ref="F69:F70"/>
    <mergeCell ref="B106:D106"/>
    <mergeCell ref="G69:H69"/>
    <mergeCell ref="I68:L68"/>
    <mergeCell ref="I69:I70"/>
    <mergeCell ref="J96:L96"/>
    <mergeCell ref="B96:B97"/>
    <mergeCell ref="C96:E96"/>
    <mergeCell ref="F96:F97"/>
    <mergeCell ref="G96:H96"/>
    <mergeCell ref="G104:I104"/>
    <mergeCell ref="J69:L69"/>
    <mergeCell ref="F78:I78"/>
    <mergeCell ref="A111:A113"/>
    <mergeCell ref="B111:D111"/>
    <mergeCell ref="F111:H111"/>
    <mergeCell ref="I111:L111"/>
    <mergeCell ref="B112:B113"/>
    <mergeCell ref="C112:E112"/>
    <mergeCell ref="F112:F113"/>
    <mergeCell ref="G112:H112"/>
    <mergeCell ref="I112:I113"/>
    <mergeCell ref="J112:L112"/>
    <mergeCell ref="A104:A105"/>
    <mergeCell ref="B104:D105"/>
    <mergeCell ref="E104:E105"/>
    <mergeCell ref="B90:L90"/>
    <mergeCell ref="B91:L91"/>
    <mergeCell ref="A95:A97"/>
    <mergeCell ref="B95:D95"/>
    <mergeCell ref="F95:H95"/>
    <mergeCell ref="I95:L95"/>
    <mergeCell ref="I96:I97"/>
    <mergeCell ref="A51:A52"/>
    <mergeCell ref="B51:D52"/>
    <mergeCell ref="E51:E52"/>
    <mergeCell ref="B37:L37"/>
    <mergeCell ref="B38:L38"/>
    <mergeCell ref="A42:A44"/>
    <mergeCell ref="B42:D42"/>
    <mergeCell ref="F42:H42"/>
    <mergeCell ref="A78:A79"/>
    <mergeCell ref="B78:D79"/>
    <mergeCell ref="E78:E79"/>
    <mergeCell ref="B63:L63"/>
    <mergeCell ref="B64:L64"/>
    <mergeCell ref="A68:A70"/>
    <mergeCell ref="B68:D68"/>
    <mergeCell ref="F68:H68"/>
    <mergeCell ref="C62:D62"/>
    <mergeCell ref="F62:I62"/>
    <mergeCell ref="J62:L62"/>
    <mergeCell ref="I43:I44"/>
    <mergeCell ref="J43:L43"/>
    <mergeCell ref="I42:L42"/>
    <mergeCell ref="B43:B44"/>
    <mergeCell ref="C43:E43"/>
    <mergeCell ref="C36:D36"/>
    <mergeCell ref="F36:I36"/>
    <mergeCell ref="F43:F44"/>
    <mergeCell ref="G43:H43"/>
    <mergeCell ref="G51:I51"/>
    <mergeCell ref="J36:L36"/>
    <mergeCell ref="J10:L10"/>
    <mergeCell ref="B34:L34"/>
    <mergeCell ref="B35:L35"/>
    <mergeCell ref="G25:I25"/>
    <mergeCell ref="B11:L11"/>
    <mergeCell ref="B32:L32"/>
    <mergeCell ref="B33:L33"/>
    <mergeCell ref="H1:M1"/>
    <mergeCell ref="H2:M2"/>
    <mergeCell ref="H3:M3"/>
    <mergeCell ref="A4:M4"/>
    <mergeCell ref="B6:L6"/>
    <mergeCell ref="B7:L7"/>
    <mergeCell ref="J17:L17"/>
    <mergeCell ref="A25:A26"/>
    <mergeCell ref="B25:D26"/>
    <mergeCell ref="E25:E26"/>
    <mergeCell ref="B12:L12"/>
    <mergeCell ref="A16:A18"/>
    <mergeCell ref="B16:D16"/>
    <mergeCell ref="F16:H16"/>
    <mergeCell ref="I16:L16"/>
    <mergeCell ref="B17:B18"/>
    <mergeCell ref="C17:E17"/>
    <mergeCell ref="F17:F18"/>
    <mergeCell ref="G17:H17"/>
    <mergeCell ref="I17:I18"/>
    <mergeCell ref="B8:L8"/>
    <mergeCell ref="B9:L9"/>
    <mergeCell ref="C10:D10"/>
    <mergeCell ref="F10:I10"/>
  </mergeCells>
  <printOptions/>
  <pageMargins left="0.984251968503937" right="0.3937007874015748" top="0.1968503937007874" bottom="0.3937007874015748" header="0.31496062992125984" footer="0.11811023622047245"/>
  <pageSetup fitToHeight="0" horizontalDpi="600" verticalDpi="600" orientation="landscape" paperSize="9" scale="60" r:id="rId1"/>
  <headerFooter>
    <oddFooter>&amp;R&amp;"Arial,курсив"&amp;8&amp;A  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="63" zoomScaleNormal="63" zoomScalePageLayoutView="0" workbookViewId="0" topLeftCell="A7">
      <pane ySplit="4" topLeftCell="A11" activePane="bottomLeft" state="frozen"/>
      <selection pane="topLeft" activeCell="Q21" activeCellId="1" sqref="Q12 Q21"/>
      <selection pane="bottomLeft" activeCell="A10" sqref="A10:Q59"/>
    </sheetView>
  </sheetViews>
  <sheetFormatPr defaultColWidth="9.140625" defaultRowHeight="12.75"/>
  <cols>
    <col min="1" max="2" width="16.7109375" style="366" customWidth="1"/>
    <col min="3" max="3" width="34.421875" style="366" customWidth="1"/>
    <col min="4" max="4" width="0.2890625" style="366" customWidth="1"/>
    <col min="5" max="5" width="16.7109375" style="366" hidden="1" customWidth="1"/>
    <col min="6" max="9" width="16.7109375" style="366" customWidth="1"/>
    <col min="10" max="13" width="16.7109375" style="366" hidden="1" customWidth="1"/>
    <col min="14" max="14" width="15.7109375" style="366" customWidth="1"/>
    <col min="15" max="16" width="0.2890625" style="366" hidden="1" customWidth="1"/>
    <col min="17" max="17" width="16.7109375" style="366" customWidth="1"/>
    <col min="18" max="196" width="8.8515625" style="366" customWidth="1"/>
    <col min="197" max="197" width="51.00390625" style="366" customWidth="1"/>
    <col min="198" max="198" width="0" style="366" hidden="1" customWidth="1"/>
    <col min="199" max="199" width="10.421875" style="366" customWidth="1"/>
    <col min="200" max="200" width="7.00390625" style="366" customWidth="1"/>
    <col min="201" max="201" width="8.28125" style="366" customWidth="1"/>
    <col min="202" max="202" width="7.7109375" style="366" customWidth="1"/>
    <col min="203" max="203" width="8.00390625" style="366" customWidth="1"/>
    <col min="204" max="204" width="8.140625" style="366" customWidth="1"/>
    <col min="205" max="205" width="7.421875" style="366" customWidth="1"/>
    <col min="206" max="206" width="8.140625" style="366" customWidth="1"/>
    <col min="207" max="207" width="7.7109375" style="366" customWidth="1"/>
    <col min="208" max="208" width="8.421875" style="366" customWidth="1"/>
    <col min="209" max="210" width="7.7109375" style="366" customWidth="1"/>
    <col min="211" max="211" width="7.8515625" style="366" customWidth="1"/>
    <col min="212" max="212" width="7.28125" style="366" customWidth="1"/>
    <col min="213" max="213" width="8.57421875" style="366" customWidth="1"/>
    <col min="214" max="214" width="7.8515625" style="366" customWidth="1"/>
    <col min="215" max="215" width="7.57421875" style="366" customWidth="1"/>
    <col min="216" max="217" width="7.8515625" style="366" customWidth="1"/>
    <col min="218" max="218" width="7.28125" style="366" customWidth="1"/>
    <col min="219" max="219" width="8.00390625" style="366" customWidth="1"/>
    <col min="220" max="220" width="6.8515625" style="366" customWidth="1"/>
    <col min="221" max="16384" width="8.8515625" style="366" customWidth="1"/>
  </cols>
  <sheetData>
    <row r="1" spans="1:17" ht="30.75" customHeight="1">
      <c r="A1" s="1136" t="s">
        <v>0</v>
      </c>
      <c r="B1" s="1137"/>
      <c r="C1" s="1137"/>
      <c r="D1" s="365"/>
      <c r="E1" s="365"/>
      <c r="F1" s="365"/>
      <c r="G1" s="365"/>
      <c r="H1" s="365"/>
      <c r="I1" s="365"/>
      <c r="J1" s="365"/>
      <c r="K1" s="1138" t="s">
        <v>435</v>
      </c>
      <c r="L1" s="1138"/>
      <c r="M1" s="1138"/>
      <c r="N1" s="1138"/>
      <c r="O1" s="1138"/>
      <c r="P1" s="1138"/>
      <c r="Q1" s="1138"/>
    </row>
    <row r="2" spans="1:17" ht="17.25" customHeight="1">
      <c r="A2" s="367"/>
      <c r="B2" s="213"/>
      <c r="C2" s="213"/>
      <c r="D2" s="365"/>
      <c r="E2" s="365"/>
      <c r="F2" s="365"/>
      <c r="G2" s="365"/>
      <c r="H2" s="365"/>
      <c r="I2" s="365"/>
      <c r="J2" s="365"/>
      <c r="K2" s="1138" t="s">
        <v>271</v>
      </c>
      <c r="L2" s="1138"/>
      <c r="M2" s="1138"/>
      <c r="N2" s="1138"/>
      <c r="O2" s="1138"/>
      <c r="P2" s="1138"/>
      <c r="Q2" s="1138"/>
    </row>
    <row r="3" spans="1:17" ht="17.25" customHeight="1">
      <c r="A3" s="367"/>
      <c r="B3" s="213"/>
      <c r="C3" s="213"/>
      <c r="D3" s="365"/>
      <c r="E3" s="365"/>
      <c r="F3" s="365"/>
      <c r="G3" s="365"/>
      <c r="H3" s="365"/>
      <c r="I3" s="365"/>
      <c r="J3" s="365"/>
      <c r="K3" s="1138" t="s">
        <v>270</v>
      </c>
      <c r="L3" s="1138"/>
      <c r="M3" s="1138"/>
      <c r="N3" s="1138"/>
      <c r="O3" s="1138"/>
      <c r="P3" s="1138"/>
      <c r="Q3" s="1138"/>
    </row>
    <row r="4" spans="3:17" ht="12.75" customHeight="1">
      <c r="C4" s="365"/>
      <c r="D4" s="365"/>
      <c r="E4" s="365"/>
      <c r="F4" s="365"/>
      <c r="G4" s="365"/>
      <c r="H4" s="365"/>
      <c r="I4" s="365"/>
      <c r="J4" s="365"/>
      <c r="K4" s="368"/>
      <c r="L4" s="368"/>
      <c r="M4" s="368"/>
      <c r="N4" s="368"/>
      <c r="O4" s="368"/>
      <c r="P4" s="368"/>
      <c r="Q4" s="368"/>
    </row>
    <row r="5" spans="1:17" ht="15.75">
      <c r="A5" s="991" t="s">
        <v>436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</row>
    <row r="6" spans="1:17" s="256" customFormat="1" ht="15.75">
      <c r="A6" s="1134" t="s">
        <v>437</v>
      </c>
      <c r="B6" s="1134"/>
      <c r="C6" s="1134"/>
      <c r="D6" s="1134"/>
      <c r="E6" s="1134"/>
      <c r="F6" s="1134"/>
      <c r="G6" s="1134"/>
      <c r="H6" s="1134"/>
      <c r="I6" s="1134"/>
      <c r="J6" s="1134"/>
      <c r="K6" s="1134"/>
      <c r="L6" s="1134"/>
      <c r="M6" s="1134"/>
      <c r="N6" s="1134"/>
      <c r="O6" s="1134"/>
      <c r="P6" s="1134"/>
      <c r="Q6" s="1134"/>
    </row>
    <row r="7" spans="1:17" s="256" customFormat="1" ht="24.75" customHeight="1">
      <c r="A7" s="991" t="s">
        <v>518</v>
      </c>
      <c r="B7" s="1135"/>
      <c r="C7" s="1135"/>
      <c r="D7" s="1135"/>
      <c r="E7" s="1135"/>
      <c r="F7" s="1135"/>
      <c r="G7" s="1135"/>
      <c r="H7" s="1135"/>
      <c r="I7" s="1135"/>
      <c r="J7" s="1135"/>
      <c r="K7" s="1135"/>
      <c r="L7" s="1135"/>
      <c r="M7" s="1135"/>
      <c r="N7" s="1135"/>
      <c r="O7" s="1135"/>
      <c r="P7" s="1135"/>
      <c r="Q7" s="1135"/>
    </row>
    <row r="8" spans="1:17" s="256" customFormat="1" ht="24.75" customHeight="1">
      <c r="A8" s="991" t="s">
        <v>517</v>
      </c>
      <c r="B8" s="1135"/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  <c r="O8" s="1135"/>
      <c r="P8" s="1135"/>
      <c r="Q8" s="1135"/>
    </row>
    <row r="9" spans="1:17" ht="15.75">
      <c r="A9" s="1134" t="s">
        <v>437</v>
      </c>
      <c r="B9" s="1134"/>
      <c r="C9" s="1134"/>
      <c r="D9" s="1134"/>
      <c r="E9" s="1134"/>
      <c r="F9" s="1134"/>
      <c r="G9" s="1134"/>
      <c r="H9" s="1134"/>
      <c r="I9" s="1134"/>
      <c r="J9" s="1134"/>
      <c r="K9" s="1134"/>
      <c r="L9" s="1134"/>
      <c r="M9" s="1134"/>
      <c r="N9" s="1134"/>
      <c r="O9" s="1134"/>
      <c r="P9" s="1134"/>
      <c r="Q9" s="1134"/>
    </row>
    <row r="10" spans="1:17" ht="187.5">
      <c r="A10" s="641" t="s">
        <v>4</v>
      </c>
      <c r="B10" s="641" t="s">
        <v>5</v>
      </c>
      <c r="C10" s="642" t="s">
        <v>7</v>
      </c>
      <c r="D10" s="642" t="s">
        <v>438</v>
      </c>
      <c r="E10" s="643" t="s">
        <v>439</v>
      </c>
      <c r="F10" s="643" t="s">
        <v>440</v>
      </c>
      <c r="G10" s="644" t="s">
        <v>441</v>
      </c>
      <c r="H10" s="644" t="s">
        <v>442</v>
      </c>
      <c r="I10" s="644" t="s">
        <v>443</v>
      </c>
      <c r="J10" s="644" t="s">
        <v>444</v>
      </c>
      <c r="K10" s="644" t="s">
        <v>445</v>
      </c>
      <c r="L10" s="644" t="s">
        <v>446</v>
      </c>
      <c r="M10" s="644" t="s">
        <v>447</v>
      </c>
      <c r="N10" s="644" t="s">
        <v>448</v>
      </c>
      <c r="O10" s="644" t="s">
        <v>449</v>
      </c>
      <c r="P10" s="644" t="s">
        <v>450</v>
      </c>
      <c r="Q10" s="643" t="s">
        <v>259</v>
      </c>
    </row>
    <row r="11" spans="1:17" ht="18.75">
      <c r="A11" s="645"/>
      <c r="B11" s="646"/>
      <c r="C11" s="647"/>
      <c r="D11" s="648"/>
      <c r="E11" s="648"/>
      <c r="F11" s="648"/>
      <c r="G11" s="649">
        <v>211</v>
      </c>
      <c r="H11" s="649">
        <v>222</v>
      </c>
      <c r="I11" s="649">
        <v>24</v>
      </c>
      <c r="J11" s="649">
        <v>25</v>
      </c>
      <c r="K11" s="649">
        <v>26</v>
      </c>
      <c r="L11" s="649">
        <v>27</v>
      </c>
      <c r="M11" s="649">
        <v>28</v>
      </c>
      <c r="N11" s="649">
        <v>31</v>
      </c>
      <c r="O11" s="649">
        <v>32</v>
      </c>
      <c r="P11" s="649">
        <v>33</v>
      </c>
      <c r="Q11" s="650"/>
    </row>
    <row r="12" spans="1:17" ht="56.25">
      <c r="A12" s="645">
        <v>1</v>
      </c>
      <c r="B12" s="651"/>
      <c r="C12" s="647" t="s">
        <v>451</v>
      </c>
      <c r="D12" s="648"/>
      <c r="E12" s="652"/>
      <c r="F12" s="653">
        <f aca="true" t="shared" si="0" ref="F12:P12">SUM(F13:F22)</f>
        <v>411.5</v>
      </c>
      <c r="G12" s="654">
        <f t="shared" si="0"/>
        <v>53736.3</v>
      </c>
      <c r="H12" s="654">
        <f t="shared" si="0"/>
        <v>35024.1</v>
      </c>
      <c r="I12" s="654">
        <f t="shared" si="0"/>
        <v>0</v>
      </c>
      <c r="J12" s="655">
        <f t="shared" si="0"/>
        <v>0</v>
      </c>
      <c r="K12" s="655">
        <f t="shared" si="0"/>
        <v>0</v>
      </c>
      <c r="L12" s="655">
        <f t="shared" si="0"/>
        <v>0</v>
      </c>
      <c r="M12" s="655">
        <f t="shared" si="0"/>
        <v>0</v>
      </c>
      <c r="N12" s="655">
        <f t="shared" si="0"/>
        <v>0</v>
      </c>
      <c r="O12" s="655">
        <f t="shared" si="0"/>
        <v>0</v>
      </c>
      <c r="P12" s="655">
        <f t="shared" si="0"/>
        <v>0</v>
      </c>
      <c r="Q12" s="654">
        <f>Q13+Q14+Q15+Q16+Q17+Q18+Q19+Q20+Q21+Q22</f>
        <v>88760.4</v>
      </c>
    </row>
    <row r="13" spans="1:17" ht="37.5">
      <c r="A13" s="645">
        <v>1</v>
      </c>
      <c r="B13" s="651">
        <v>1</v>
      </c>
      <c r="C13" s="656" t="s">
        <v>35</v>
      </c>
      <c r="D13" s="657"/>
      <c r="E13" s="658" t="s">
        <v>24</v>
      </c>
      <c r="F13" s="659">
        <v>11</v>
      </c>
      <c r="G13" s="660">
        <f>3574.4+616.6</f>
        <v>4191</v>
      </c>
      <c r="H13" s="660"/>
      <c r="I13" s="661"/>
      <c r="J13" s="661"/>
      <c r="K13" s="661"/>
      <c r="L13" s="661"/>
      <c r="M13" s="661"/>
      <c r="N13" s="661"/>
      <c r="O13" s="661"/>
      <c r="P13" s="661"/>
      <c r="Q13" s="654">
        <f aca="true" t="shared" si="1" ref="Q13:Q30">G13+H13+I13+J13+K13+L13+M13+N13+O13+P13</f>
        <v>4191</v>
      </c>
    </row>
    <row r="14" spans="1:17" ht="37.5">
      <c r="A14" s="645">
        <v>1</v>
      </c>
      <c r="B14" s="651">
        <v>2</v>
      </c>
      <c r="C14" s="662" t="s">
        <v>39</v>
      </c>
      <c r="D14" s="663"/>
      <c r="E14" s="658" t="s">
        <v>40</v>
      </c>
      <c r="F14" s="664">
        <v>10</v>
      </c>
      <c r="G14" s="660">
        <f>3194.5+551</f>
        <v>3745.5</v>
      </c>
      <c r="H14" s="660"/>
      <c r="I14" s="660"/>
      <c r="J14" s="660"/>
      <c r="K14" s="660"/>
      <c r="L14" s="660"/>
      <c r="M14" s="660"/>
      <c r="N14" s="660"/>
      <c r="O14" s="660"/>
      <c r="P14" s="660"/>
      <c r="Q14" s="654">
        <f t="shared" si="1"/>
        <v>3745.5</v>
      </c>
    </row>
    <row r="15" spans="1:17" ht="56.25">
      <c r="A15" s="645">
        <v>1</v>
      </c>
      <c r="B15" s="651">
        <v>3</v>
      </c>
      <c r="C15" s="662" t="s">
        <v>47</v>
      </c>
      <c r="D15" s="663"/>
      <c r="E15" s="658" t="s">
        <v>48</v>
      </c>
      <c r="F15" s="664">
        <v>8</v>
      </c>
      <c r="G15" s="660">
        <f>4269.8+736.5</f>
        <v>5006.3</v>
      </c>
      <c r="H15" s="660"/>
      <c r="I15" s="660"/>
      <c r="J15" s="660"/>
      <c r="K15" s="660"/>
      <c r="L15" s="660"/>
      <c r="M15" s="660"/>
      <c r="N15" s="660"/>
      <c r="O15" s="660"/>
      <c r="P15" s="660"/>
      <c r="Q15" s="654">
        <f t="shared" si="1"/>
        <v>5006.3</v>
      </c>
    </row>
    <row r="16" spans="1:17" ht="37.5">
      <c r="A16" s="645">
        <v>1</v>
      </c>
      <c r="B16" s="651">
        <v>4</v>
      </c>
      <c r="C16" s="662" t="s">
        <v>52</v>
      </c>
      <c r="D16" s="663"/>
      <c r="E16" s="658" t="s">
        <v>53</v>
      </c>
      <c r="F16" s="664">
        <v>4</v>
      </c>
      <c r="G16" s="660">
        <f>1109.9+191.5</f>
        <v>1301.4</v>
      </c>
      <c r="H16" s="660"/>
      <c r="I16" s="660"/>
      <c r="J16" s="660"/>
      <c r="K16" s="660"/>
      <c r="L16" s="660"/>
      <c r="M16" s="660"/>
      <c r="N16" s="660"/>
      <c r="O16" s="660"/>
      <c r="P16" s="660"/>
      <c r="Q16" s="654">
        <f t="shared" si="1"/>
        <v>1301.4</v>
      </c>
    </row>
    <row r="17" spans="1:17" ht="75">
      <c r="A17" s="645">
        <v>1</v>
      </c>
      <c r="B17" s="651">
        <v>5</v>
      </c>
      <c r="C17" s="665" t="s">
        <v>57</v>
      </c>
      <c r="D17" s="663"/>
      <c r="E17" s="658" t="s">
        <v>58</v>
      </c>
      <c r="F17" s="659">
        <v>4</v>
      </c>
      <c r="G17" s="660">
        <f>2617.7+450.7</f>
        <v>3068.3999999999996</v>
      </c>
      <c r="H17" s="660">
        <f>10100+12030+1330</f>
        <v>23460</v>
      </c>
      <c r="I17" s="660"/>
      <c r="J17" s="660"/>
      <c r="K17" s="660"/>
      <c r="L17" s="660"/>
      <c r="M17" s="660"/>
      <c r="N17" s="660"/>
      <c r="O17" s="660"/>
      <c r="P17" s="660"/>
      <c r="Q17" s="654">
        <f t="shared" si="1"/>
        <v>26528.4</v>
      </c>
    </row>
    <row r="18" spans="1:17" ht="75">
      <c r="A18" s="645">
        <v>1</v>
      </c>
      <c r="B18" s="651">
        <v>6</v>
      </c>
      <c r="C18" s="665" t="s">
        <v>61</v>
      </c>
      <c r="D18" s="663"/>
      <c r="E18" s="658" t="s">
        <v>62</v>
      </c>
      <c r="F18" s="664">
        <v>4</v>
      </c>
      <c r="G18" s="660">
        <f>1291.9+222.9</f>
        <v>1514.8000000000002</v>
      </c>
      <c r="H18" s="660"/>
      <c r="I18" s="660"/>
      <c r="J18" s="660"/>
      <c r="K18" s="660"/>
      <c r="L18" s="660"/>
      <c r="M18" s="660"/>
      <c r="N18" s="660"/>
      <c r="O18" s="660"/>
      <c r="P18" s="660"/>
      <c r="Q18" s="654">
        <f t="shared" si="1"/>
        <v>1514.8000000000002</v>
      </c>
    </row>
    <row r="19" spans="1:17" ht="75">
      <c r="A19" s="645">
        <v>1</v>
      </c>
      <c r="B19" s="651">
        <v>7</v>
      </c>
      <c r="C19" s="665" t="s">
        <v>66</v>
      </c>
      <c r="D19" s="663"/>
      <c r="E19" s="658" t="s">
        <v>67</v>
      </c>
      <c r="F19" s="664">
        <v>10</v>
      </c>
      <c r="G19" s="660">
        <f>2332.3+402.3</f>
        <v>2734.6000000000004</v>
      </c>
      <c r="H19" s="660"/>
      <c r="I19" s="660"/>
      <c r="J19" s="660"/>
      <c r="K19" s="660"/>
      <c r="L19" s="660"/>
      <c r="M19" s="660"/>
      <c r="N19" s="660"/>
      <c r="O19" s="660"/>
      <c r="P19" s="660"/>
      <c r="Q19" s="654">
        <f t="shared" si="1"/>
        <v>2734.6000000000004</v>
      </c>
    </row>
    <row r="20" spans="1:17" ht="37.5">
      <c r="A20" s="645">
        <v>1</v>
      </c>
      <c r="B20" s="651">
        <v>8</v>
      </c>
      <c r="C20" s="665" t="s">
        <v>71</v>
      </c>
      <c r="D20" s="663"/>
      <c r="E20" s="658" t="s">
        <v>369</v>
      </c>
      <c r="F20" s="664">
        <v>237</v>
      </c>
      <c r="G20" s="660">
        <f>17367.5+2994.9</f>
        <v>20362.4</v>
      </c>
      <c r="H20" s="660">
        <f>2050.1+2670+1986.8+200</f>
        <v>6906.900000000001</v>
      </c>
      <c r="I20" s="660"/>
      <c r="J20" s="660"/>
      <c r="K20" s="660"/>
      <c r="L20" s="660"/>
      <c r="M20" s="660"/>
      <c r="N20" s="660"/>
      <c r="O20" s="660"/>
      <c r="P20" s="660"/>
      <c r="Q20" s="654">
        <f t="shared" si="1"/>
        <v>27269.300000000003</v>
      </c>
    </row>
    <row r="21" spans="1:17" ht="37.5">
      <c r="A21" s="645">
        <v>1</v>
      </c>
      <c r="B21" s="651">
        <v>9</v>
      </c>
      <c r="C21" s="665" t="s">
        <v>75</v>
      </c>
      <c r="D21" s="663"/>
      <c r="E21" s="658" t="s">
        <v>76</v>
      </c>
      <c r="F21" s="664">
        <v>4</v>
      </c>
      <c r="G21" s="660">
        <f>1320.4+227.8</f>
        <v>1548.2</v>
      </c>
      <c r="H21" s="660">
        <v>200</v>
      </c>
      <c r="I21" s="660"/>
      <c r="J21" s="660"/>
      <c r="K21" s="660"/>
      <c r="L21" s="660"/>
      <c r="M21" s="660"/>
      <c r="N21" s="660"/>
      <c r="O21" s="660"/>
      <c r="P21" s="660"/>
      <c r="Q21" s="654">
        <f t="shared" si="1"/>
        <v>1748.2</v>
      </c>
    </row>
    <row r="22" spans="1:17" ht="56.25">
      <c r="A22" s="645">
        <v>1</v>
      </c>
      <c r="B22" s="651">
        <v>10</v>
      </c>
      <c r="C22" s="665" t="s">
        <v>452</v>
      </c>
      <c r="D22" s="663"/>
      <c r="E22" s="658" t="s">
        <v>453</v>
      </c>
      <c r="F22" s="664">
        <v>119.5</v>
      </c>
      <c r="G22" s="660">
        <f>3315.5+571.9+5438.2+938.1</f>
        <v>10263.7</v>
      </c>
      <c r="H22" s="660">
        <f>739.5+90+554.6+347+814.4+1011.7+900</f>
        <v>4457.2</v>
      </c>
      <c r="I22" s="660"/>
      <c r="J22" s="660"/>
      <c r="K22" s="660"/>
      <c r="L22" s="660"/>
      <c r="M22" s="660"/>
      <c r="N22" s="660"/>
      <c r="O22" s="660"/>
      <c r="P22" s="660"/>
      <c r="Q22" s="654">
        <f t="shared" si="1"/>
        <v>14720.900000000001</v>
      </c>
    </row>
    <row r="23" spans="1:17" ht="18.75">
      <c r="A23" s="645">
        <v>2</v>
      </c>
      <c r="B23" s="645"/>
      <c r="C23" s="666" t="s">
        <v>248</v>
      </c>
      <c r="D23" s="663"/>
      <c r="E23" s="658"/>
      <c r="F23" s="653">
        <f aca="true" t="shared" si="2" ref="F23:P23">SUM(F24:F30)</f>
        <v>7335.25</v>
      </c>
      <c r="G23" s="655">
        <f t="shared" si="2"/>
        <v>410110.6000000001</v>
      </c>
      <c r="H23" s="655">
        <f t="shared" si="2"/>
        <v>279402.7</v>
      </c>
      <c r="I23" s="655">
        <f t="shared" si="2"/>
        <v>0</v>
      </c>
      <c r="J23" s="655">
        <f t="shared" si="2"/>
        <v>0</v>
      </c>
      <c r="K23" s="655">
        <f t="shared" si="2"/>
        <v>0</v>
      </c>
      <c r="L23" s="655">
        <f t="shared" si="2"/>
        <v>0</v>
      </c>
      <c r="M23" s="655">
        <f t="shared" si="2"/>
        <v>0</v>
      </c>
      <c r="N23" s="655">
        <f t="shared" si="2"/>
        <v>4228.3</v>
      </c>
      <c r="O23" s="655">
        <f t="shared" si="2"/>
        <v>0</v>
      </c>
      <c r="P23" s="655">
        <f t="shared" si="2"/>
        <v>0</v>
      </c>
      <c r="Q23" s="655">
        <f t="shared" si="1"/>
        <v>693741.6000000001</v>
      </c>
    </row>
    <row r="24" spans="1:17" ht="131.25">
      <c r="A24" s="645">
        <v>2</v>
      </c>
      <c r="B24" s="667">
        <v>1</v>
      </c>
      <c r="C24" s="668" t="s">
        <v>91</v>
      </c>
      <c r="D24" s="663"/>
      <c r="E24" s="669" t="s">
        <v>454</v>
      </c>
      <c r="F24" s="670">
        <v>6757</v>
      </c>
      <c r="G24" s="660">
        <f>2035.3+351.1+316205.7</f>
        <v>318592.10000000003</v>
      </c>
      <c r="H24" s="660">
        <f>89765</f>
        <v>89765</v>
      </c>
      <c r="I24" s="660"/>
      <c r="J24" s="660"/>
      <c r="K24" s="660"/>
      <c r="L24" s="660"/>
      <c r="M24" s="660"/>
      <c r="N24" s="660"/>
      <c r="O24" s="660"/>
      <c r="P24" s="660"/>
      <c r="Q24" s="654">
        <f t="shared" si="1"/>
        <v>408357.10000000003</v>
      </c>
    </row>
    <row r="25" spans="1:17" ht="37.5">
      <c r="A25" s="645">
        <v>2</v>
      </c>
      <c r="B25" s="667">
        <v>2</v>
      </c>
      <c r="C25" s="671" t="s">
        <v>103</v>
      </c>
      <c r="D25" s="663"/>
      <c r="E25" s="672" t="s">
        <v>455</v>
      </c>
      <c r="F25" s="670">
        <v>16</v>
      </c>
      <c r="G25" s="660">
        <f>1525+263</f>
        <v>1788</v>
      </c>
      <c r="H25" s="660">
        <f>95095+594.5</f>
        <v>95689.5</v>
      </c>
      <c r="I25" s="660"/>
      <c r="J25" s="660"/>
      <c r="K25" s="660"/>
      <c r="L25" s="660"/>
      <c r="M25" s="660"/>
      <c r="N25" s="660"/>
      <c r="O25" s="660"/>
      <c r="P25" s="660"/>
      <c r="Q25" s="654">
        <f t="shared" si="1"/>
        <v>97477.5</v>
      </c>
    </row>
    <row r="26" spans="1:17" ht="56.25">
      <c r="A26" s="645">
        <v>2</v>
      </c>
      <c r="B26" s="667">
        <v>3</v>
      </c>
      <c r="C26" s="668" t="s">
        <v>112</v>
      </c>
      <c r="D26" s="663"/>
      <c r="E26" s="672" t="s">
        <v>456</v>
      </c>
      <c r="F26" s="670">
        <v>83</v>
      </c>
      <c r="G26" s="660">
        <f>10520+1814.7</f>
        <v>12334.7</v>
      </c>
      <c r="H26" s="660">
        <f>2100.6+750+173.4</f>
        <v>3024</v>
      </c>
      <c r="I26" s="660"/>
      <c r="J26" s="660"/>
      <c r="K26" s="660"/>
      <c r="L26" s="660"/>
      <c r="M26" s="660"/>
      <c r="N26" s="660"/>
      <c r="O26" s="660"/>
      <c r="P26" s="660"/>
      <c r="Q26" s="654">
        <f t="shared" si="1"/>
        <v>15358.7</v>
      </c>
    </row>
    <row r="27" spans="1:17" ht="75">
      <c r="A27" s="645">
        <v>2</v>
      </c>
      <c r="B27" s="667">
        <v>4</v>
      </c>
      <c r="C27" s="668" t="s">
        <v>457</v>
      </c>
      <c r="D27" s="663"/>
      <c r="E27" s="672" t="s">
        <v>458</v>
      </c>
      <c r="F27" s="670">
        <v>275</v>
      </c>
      <c r="G27" s="660">
        <f>31427.4+5421</f>
        <v>36848.4</v>
      </c>
      <c r="H27" s="660">
        <f>66526.6+1383.9+1075-3000</f>
        <v>65985.5</v>
      </c>
      <c r="I27" s="660"/>
      <c r="J27" s="660"/>
      <c r="K27" s="660"/>
      <c r="L27" s="660"/>
      <c r="M27" s="660"/>
      <c r="N27" s="660"/>
      <c r="O27" s="660"/>
      <c r="P27" s="660"/>
      <c r="Q27" s="654">
        <f t="shared" si="1"/>
        <v>102833.9</v>
      </c>
    </row>
    <row r="28" spans="1:17" ht="187.5">
      <c r="A28" s="645">
        <v>2</v>
      </c>
      <c r="B28" s="667">
        <v>5</v>
      </c>
      <c r="C28" s="668" t="s">
        <v>127</v>
      </c>
      <c r="D28" s="663"/>
      <c r="E28" s="672" t="s">
        <v>128</v>
      </c>
      <c r="F28" s="670"/>
      <c r="G28" s="660"/>
      <c r="H28" s="660">
        <v>3000</v>
      </c>
      <c r="I28" s="660"/>
      <c r="J28" s="660"/>
      <c r="K28" s="660"/>
      <c r="L28" s="660"/>
      <c r="M28" s="660"/>
      <c r="N28" s="660"/>
      <c r="O28" s="660"/>
      <c r="P28" s="660"/>
      <c r="Q28" s="654">
        <f t="shared" si="1"/>
        <v>3000</v>
      </c>
    </row>
    <row r="29" spans="1:17" ht="150">
      <c r="A29" s="645">
        <v>2</v>
      </c>
      <c r="B29" s="667">
        <v>6</v>
      </c>
      <c r="C29" s="671" t="s">
        <v>135</v>
      </c>
      <c r="D29" s="663"/>
      <c r="E29" s="669" t="s">
        <v>459</v>
      </c>
      <c r="F29" s="670">
        <v>132.75</v>
      </c>
      <c r="G29" s="660">
        <f>29482+5085.7</f>
        <v>34567.7</v>
      </c>
      <c r="H29" s="660">
        <f>12775+4610+1298.7+1125</f>
        <v>19808.7</v>
      </c>
      <c r="I29" s="660"/>
      <c r="J29" s="660"/>
      <c r="K29" s="660"/>
      <c r="L29" s="660"/>
      <c r="M29" s="660"/>
      <c r="N29" s="660">
        <v>4228.3</v>
      </c>
      <c r="O29" s="660"/>
      <c r="P29" s="660"/>
      <c r="Q29" s="654">
        <f t="shared" si="1"/>
        <v>58604.7</v>
      </c>
    </row>
    <row r="30" spans="1:17" ht="93.75">
      <c r="A30" s="645">
        <v>2</v>
      </c>
      <c r="B30" s="667">
        <v>7</v>
      </c>
      <c r="C30" s="673" t="s">
        <v>139</v>
      </c>
      <c r="D30" s="663"/>
      <c r="E30" s="669" t="s">
        <v>460</v>
      </c>
      <c r="F30" s="670">
        <v>71.5</v>
      </c>
      <c r="G30" s="660">
        <f>5100+879.7</f>
        <v>5979.7</v>
      </c>
      <c r="H30" s="660">
        <f>150+300+1680</f>
        <v>2130</v>
      </c>
      <c r="I30" s="660"/>
      <c r="J30" s="660"/>
      <c r="K30" s="660"/>
      <c r="L30" s="660"/>
      <c r="M30" s="660"/>
      <c r="N30" s="660"/>
      <c r="O30" s="660"/>
      <c r="P30" s="660"/>
      <c r="Q30" s="654">
        <f t="shared" si="1"/>
        <v>8109.7</v>
      </c>
    </row>
    <row r="31" spans="1:17" ht="56.25">
      <c r="A31" s="645">
        <v>3</v>
      </c>
      <c r="B31" s="645"/>
      <c r="C31" s="674" t="s">
        <v>533</v>
      </c>
      <c r="D31" s="663"/>
      <c r="E31" s="658"/>
      <c r="F31" s="661">
        <f aca="true" t="shared" si="3" ref="F31:Q31">SUM(F32:F44)</f>
        <v>3407.5</v>
      </c>
      <c r="G31" s="661">
        <f t="shared" si="3"/>
        <v>345234.2</v>
      </c>
      <c r="H31" s="661">
        <f t="shared" si="3"/>
        <v>992018.1</v>
      </c>
      <c r="I31" s="661">
        <f t="shared" si="3"/>
        <v>0</v>
      </c>
      <c r="J31" s="661">
        <f t="shared" si="3"/>
        <v>0</v>
      </c>
      <c r="K31" s="661">
        <f t="shared" si="3"/>
        <v>0</v>
      </c>
      <c r="L31" s="661">
        <f t="shared" si="3"/>
        <v>0</v>
      </c>
      <c r="M31" s="661">
        <f t="shared" si="3"/>
        <v>0</v>
      </c>
      <c r="N31" s="661">
        <f t="shared" si="3"/>
        <v>0</v>
      </c>
      <c r="O31" s="661">
        <f t="shared" si="3"/>
        <v>0</v>
      </c>
      <c r="P31" s="661">
        <f t="shared" si="3"/>
        <v>0</v>
      </c>
      <c r="Q31" s="661">
        <f t="shared" si="3"/>
        <v>1337252.3</v>
      </c>
    </row>
    <row r="32" spans="1:17" ht="131.25">
      <c r="A32" s="645">
        <v>3</v>
      </c>
      <c r="B32" s="667">
        <v>1</v>
      </c>
      <c r="C32" s="671" t="s">
        <v>149</v>
      </c>
      <c r="D32" s="663"/>
      <c r="E32" s="669" t="s">
        <v>461</v>
      </c>
      <c r="F32" s="675">
        <f>13+554</f>
        <v>567</v>
      </c>
      <c r="G32" s="660">
        <f>3942.3+680+35194.1+6070.9+6732+1161.2</f>
        <v>53780.5</v>
      </c>
      <c r="H32" s="660">
        <f>1446.3+650+1154.7+1315.3+50+488.1</f>
        <v>5104.400000000001</v>
      </c>
      <c r="I32" s="660"/>
      <c r="J32" s="660"/>
      <c r="K32" s="660"/>
      <c r="L32" s="660"/>
      <c r="M32" s="660"/>
      <c r="N32" s="660"/>
      <c r="O32" s="660"/>
      <c r="P32" s="660"/>
      <c r="Q32" s="654">
        <f aca="true" t="shared" si="4" ref="Q32:Q44">G32+H32+I32+J32+K32+L32+M32+N32+O32+P32</f>
        <v>58884.9</v>
      </c>
    </row>
    <row r="33" spans="1:17" ht="131.25">
      <c r="A33" s="645">
        <v>3</v>
      </c>
      <c r="B33" s="667">
        <v>2</v>
      </c>
      <c r="C33" s="671" t="s">
        <v>462</v>
      </c>
      <c r="D33" s="663"/>
      <c r="E33" s="669" t="s">
        <v>463</v>
      </c>
      <c r="F33" s="675">
        <v>92.5</v>
      </c>
      <c r="G33" s="660">
        <f>7090+1223.1</f>
        <v>8313.1</v>
      </c>
      <c r="H33" s="660">
        <f>1249.3+350+345.3-0.7</f>
        <v>1943.8999999999999</v>
      </c>
      <c r="I33" s="660"/>
      <c r="J33" s="660"/>
      <c r="K33" s="660"/>
      <c r="L33" s="660"/>
      <c r="M33" s="660"/>
      <c r="N33" s="660"/>
      <c r="O33" s="660"/>
      <c r="P33" s="660"/>
      <c r="Q33" s="654">
        <f t="shared" si="4"/>
        <v>10257</v>
      </c>
    </row>
    <row r="34" spans="1:17" ht="93.75">
      <c r="A34" s="645">
        <v>3</v>
      </c>
      <c r="B34" s="667">
        <v>3</v>
      </c>
      <c r="C34" s="668" t="s">
        <v>464</v>
      </c>
      <c r="D34" s="663"/>
      <c r="E34" s="669" t="s">
        <v>465</v>
      </c>
      <c r="F34" s="675"/>
      <c r="G34" s="660"/>
      <c r="H34" s="660">
        <v>9000</v>
      </c>
      <c r="I34" s="660"/>
      <c r="J34" s="660"/>
      <c r="K34" s="660"/>
      <c r="L34" s="660"/>
      <c r="M34" s="660"/>
      <c r="N34" s="660"/>
      <c r="O34" s="660"/>
      <c r="P34" s="660"/>
      <c r="Q34" s="654">
        <f t="shared" si="4"/>
        <v>9000</v>
      </c>
    </row>
    <row r="35" spans="1:17" ht="131.25">
      <c r="A35" s="645">
        <v>3</v>
      </c>
      <c r="B35" s="667">
        <v>4</v>
      </c>
      <c r="C35" s="671" t="s">
        <v>164</v>
      </c>
      <c r="D35" s="663"/>
      <c r="E35" s="669" t="s">
        <v>466</v>
      </c>
      <c r="F35" s="675">
        <v>119</v>
      </c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54">
        <f t="shared" si="4"/>
        <v>0</v>
      </c>
    </row>
    <row r="36" spans="1:17" ht="93.75">
      <c r="A36" s="645">
        <v>3</v>
      </c>
      <c r="B36" s="667">
        <v>5</v>
      </c>
      <c r="C36" s="676" t="s">
        <v>514</v>
      </c>
      <c r="D36" s="663"/>
      <c r="E36" s="669" t="s">
        <v>467</v>
      </c>
      <c r="F36" s="675">
        <v>389</v>
      </c>
      <c r="G36" s="660">
        <v>39865</v>
      </c>
      <c r="H36" s="660">
        <v>24970.9</v>
      </c>
      <c r="I36" s="660"/>
      <c r="J36" s="660"/>
      <c r="K36" s="660"/>
      <c r="L36" s="660"/>
      <c r="M36" s="660"/>
      <c r="N36" s="660"/>
      <c r="O36" s="660"/>
      <c r="P36" s="660"/>
      <c r="Q36" s="654">
        <f t="shared" si="4"/>
        <v>64835.9</v>
      </c>
    </row>
    <row r="37" spans="1:17" ht="75">
      <c r="A37" s="645">
        <v>3</v>
      </c>
      <c r="B37" s="667">
        <v>6</v>
      </c>
      <c r="C37" s="668" t="s">
        <v>175</v>
      </c>
      <c r="D37" s="663"/>
      <c r="E37" s="669" t="s">
        <v>528</v>
      </c>
      <c r="F37" s="675">
        <v>753.5</v>
      </c>
      <c r="G37" s="660">
        <f>25888.7+4466.1+4660+803.9+32542.7+5613.5</f>
        <v>73974.90000000001</v>
      </c>
      <c r="H37" s="660">
        <f>3925.1+887.1+1400+7929.2+1051.5+3710+305+60+200</f>
        <v>19467.9</v>
      </c>
      <c r="I37" s="660"/>
      <c r="J37" s="660"/>
      <c r="K37" s="660"/>
      <c r="L37" s="660"/>
      <c r="M37" s="660"/>
      <c r="N37" s="660"/>
      <c r="O37" s="660"/>
      <c r="P37" s="660"/>
      <c r="Q37" s="654">
        <f t="shared" si="4"/>
        <v>93442.80000000002</v>
      </c>
    </row>
    <row r="38" spans="1:17" ht="75">
      <c r="A38" s="645">
        <v>3</v>
      </c>
      <c r="B38" s="667">
        <v>7</v>
      </c>
      <c r="C38" s="668" t="s">
        <v>513</v>
      </c>
      <c r="D38" s="663"/>
      <c r="E38" s="669" t="s">
        <v>469</v>
      </c>
      <c r="F38" s="675">
        <v>988.75</v>
      </c>
      <c r="G38" s="660">
        <f>42186.3+7277.1+14100+2432.2+26322.3+4540.6</f>
        <v>96858.50000000001</v>
      </c>
      <c r="H38" s="660">
        <f>10170.6+50+8920+4324.4+420+6854+8033+900+4045.2</f>
        <v>43717.2</v>
      </c>
      <c r="I38" s="660"/>
      <c r="J38" s="660"/>
      <c r="K38" s="660"/>
      <c r="L38" s="660"/>
      <c r="M38" s="660"/>
      <c r="N38" s="660"/>
      <c r="O38" s="660"/>
      <c r="P38" s="660"/>
      <c r="Q38" s="677">
        <f t="shared" si="4"/>
        <v>140575.7</v>
      </c>
    </row>
    <row r="39" spans="1:17" ht="150">
      <c r="A39" s="645">
        <v>3</v>
      </c>
      <c r="B39" s="667">
        <v>8</v>
      </c>
      <c r="C39" s="671" t="s">
        <v>182</v>
      </c>
      <c r="D39" s="663"/>
      <c r="E39" s="675" t="s">
        <v>471</v>
      </c>
      <c r="F39" s="675"/>
      <c r="G39" s="660"/>
      <c r="H39" s="660">
        <f>876775.7+9126.6-128100-30000-4300-67900-9000-205.1</f>
        <v>646397.2</v>
      </c>
      <c r="I39" s="660"/>
      <c r="J39" s="660"/>
      <c r="K39" s="660"/>
      <c r="L39" s="660"/>
      <c r="M39" s="660"/>
      <c r="N39" s="660"/>
      <c r="O39" s="660"/>
      <c r="P39" s="660"/>
      <c r="Q39" s="654">
        <f t="shared" si="4"/>
        <v>646397.2</v>
      </c>
    </row>
    <row r="40" spans="1:17" ht="206.25">
      <c r="A40" s="645">
        <v>3</v>
      </c>
      <c r="B40" s="667">
        <v>9</v>
      </c>
      <c r="C40" s="671" t="s">
        <v>472</v>
      </c>
      <c r="D40" s="663"/>
      <c r="E40" s="669" t="s">
        <v>473</v>
      </c>
      <c r="F40" s="675"/>
      <c r="G40" s="660"/>
      <c r="H40" s="660">
        <f>128100</f>
        <v>128100</v>
      </c>
      <c r="I40" s="660"/>
      <c r="J40" s="660"/>
      <c r="K40" s="660"/>
      <c r="L40" s="660"/>
      <c r="M40" s="660"/>
      <c r="N40" s="660"/>
      <c r="O40" s="660"/>
      <c r="P40" s="660"/>
      <c r="Q40" s="654">
        <f t="shared" si="4"/>
        <v>128100</v>
      </c>
    </row>
    <row r="41" spans="1:17" ht="75">
      <c r="A41" s="645">
        <v>3</v>
      </c>
      <c r="B41" s="667">
        <v>10</v>
      </c>
      <c r="C41" s="668" t="s">
        <v>190</v>
      </c>
      <c r="D41" s="663"/>
      <c r="E41" s="669" t="s">
        <v>191</v>
      </c>
      <c r="F41" s="678">
        <v>497.75</v>
      </c>
      <c r="G41" s="660">
        <f>61784.5+10657.7</f>
        <v>72442.2</v>
      </c>
      <c r="H41" s="660">
        <f>6540.2+1550+1926.4+1100</f>
        <v>11116.6</v>
      </c>
      <c r="I41" s="660"/>
      <c r="J41" s="660"/>
      <c r="K41" s="660"/>
      <c r="L41" s="660"/>
      <c r="M41" s="660"/>
      <c r="N41" s="660"/>
      <c r="O41" s="660"/>
      <c r="P41" s="660"/>
      <c r="Q41" s="654">
        <f t="shared" si="4"/>
        <v>83558.8</v>
      </c>
    </row>
    <row r="42" spans="1:17" ht="93.75">
      <c r="A42" s="645">
        <v>3</v>
      </c>
      <c r="B42" s="667">
        <v>11</v>
      </c>
      <c r="C42" s="671" t="s">
        <v>195</v>
      </c>
      <c r="D42" s="663"/>
      <c r="E42" s="669" t="s">
        <v>474</v>
      </c>
      <c r="F42" s="675"/>
      <c r="G42" s="660"/>
      <c r="H42" s="660">
        <v>30000</v>
      </c>
      <c r="I42" s="660"/>
      <c r="J42" s="660"/>
      <c r="K42" s="660"/>
      <c r="L42" s="660"/>
      <c r="M42" s="660"/>
      <c r="N42" s="660"/>
      <c r="O42" s="660"/>
      <c r="P42" s="660"/>
      <c r="Q42" s="654">
        <f t="shared" si="4"/>
        <v>30000</v>
      </c>
    </row>
    <row r="43" spans="1:17" ht="93.75">
      <c r="A43" s="645">
        <v>3</v>
      </c>
      <c r="B43" s="667">
        <v>12</v>
      </c>
      <c r="C43" s="671" t="s">
        <v>197</v>
      </c>
      <c r="D43" s="663"/>
      <c r="E43" s="669" t="s">
        <v>474</v>
      </c>
      <c r="F43" s="675"/>
      <c r="G43" s="660"/>
      <c r="H43" s="660">
        <v>4300</v>
      </c>
      <c r="I43" s="660"/>
      <c r="J43" s="660"/>
      <c r="K43" s="660"/>
      <c r="L43" s="660"/>
      <c r="M43" s="660"/>
      <c r="N43" s="660"/>
      <c r="O43" s="660"/>
      <c r="P43" s="660"/>
      <c r="Q43" s="654">
        <f t="shared" si="4"/>
        <v>4300</v>
      </c>
    </row>
    <row r="44" spans="1:17" ht="112.5">
      <c r="A44" s="645">
        <v>3</v>
      </c>
      <c r="B44" s="667">
        <v>13</v>
      </c>
      <c r="C44" s="671" t="s">
        <v>202</v>
      </c>
      <c r="D44" s="663"/>
      <c r="E44" s="669" t="s">
        <v>475</v>
      </c>
      <c r="F44" s="675"/>
      <c r="G44" s="660"/>
      <c r="H44" s="660">
        <v>67900</v>
      </c>
      <c r="I44" s="660"/>
      <c r="J44" s="660"/>
      <c r="K44" s="660"/>
      <c r="L44" s="660"/>
      <c r="M44" s="660"/>
      <c r="N44" s="660"/>
      <c r="O44" s="660"/>
      <c r="P44" s="660"/>
      <c r="Q44" s="654">
        <f t="shared" si="4"/>
        <v>67900</v>
      </c>
    </row>
    <row r="45" spans="1:17" ht="112.5">
      <c r="A45" s="679">
        <v>4</v>
      </c>
      <c r="B45" s="667"/>
      <c r="C45" s="680" t="s">
        <v>246</v>
      </c>
      <c r="D45" s="663"/>
      <c r="E45" s="658"/>
      <c r="F45" s="681">
        <f>SUM(F46:F49)</f>
        <v>2176.6</v>
      </c>
      <c r="G45" s="661">
        <f>SUM(G46:G49)</f>
        <v>256717.60000000003</v>
      </c>
      <c r="H45" s="661">
        <f>SUM(H46:H49)</f>
        <v>57834.2</v>
      </c>
      <c r="I45" s="660"/>
      <c r="J45" s="660"/>
      <c r="K45" s="660"/>
      <c r="L45" s="660"/>
      <c r="M45" s="660"/>
      <c r="N45" s="661"/>
      <c r="O45" s="660"/>
      <c r="P45" s="660"/>
      <c r="Q45" s="661">
        <f>SUM(Q46:Q49)</f>
        <v>314551.80000000005</v>
      </c>
    </row>
    <row r="46" spans="1:17" ht="75">
      <c r="A46" s="679">
        <v>4</v>
      </c>
      <c r="B46" s="667">
        <v>1</v>
      </c>
      <c r="C46" s="671" t="s">
        <v>211</v>
      </c>
      <c r="D46" s="663"/>
      <c r="E46" s="658" t="s">
        <v>48</v>
      </c>
      <c r="F46" s="660"/>
      <c r="G46" s="660">
        <f>23191.1+4001.6</f>
        <v>27192.699999999997</v>
      </c>
      <c r="H46" s="660"/>
      <c r="I46" s="660"/>
      <c r="J46" s="660"/>
      <c r="K46" s="660"/>
      <c r="L46" s="660"/>
      <c r="M46" s="660"/>
      <c r="N46" s="660"/>
      <c r="O46" s="660"/>
      <c r="P46" s="660"/>
      <c r="Q46" s="654">
        <f>SUM(G46:P46)</f>
        <v>27192.699999999997</v>
      </c>
    </row>
    <row r="47" spans="1:17" ht="56.25">
      <c r="A47" s="679">
        <v>4</v>
      </c>
      <c r="B47" s="667">
        <v>2</v>
      </c>
      <c r="C47" s="671" t="s">
        <v>216</v>
      </c>
      <c r="D47" s="663"/>
      <c r="E47" s="658" t="s">
        <v>476</v>
      </c>
      <c r="F47" s="660">
        <v>1052.3</v>
      </c>
      <c r="G47" s="660">
        <v>63710.4</v>
      </c>
      <c r="H47" s="660">
        <v>24175.9</v>
      </c>
      <c r="I47" s="660"/>
      <c r="J47" s="660"/>
      <c r="K47" s="660"/>
      <c r="L47" s="660"/>
      <c r="M47" s="660"/>
      <c r="N47" s="660"/>
      <c r="O47" s="660"/>
      <c r="P47" s="660"/>
      <c r="Q47" s="654">
        <f>G47+H47+I47+J47+K47+L47+M47+N47+O47+P47</f>
        <v>87886.3</v>
      </c>
    </row>
    <row r="48" spans="1:17" ht="56.25">
      <c r="A48" s="679">
        <v>4</v>
      </c>
      <c r="B48" s="667">
        <v>3</v>
      </c>
      <c r="C48" s="671" t="s">
        <v>219</v>
      </c>
      <c r="D48" s="663"/>
      <c r="E48" s="658" t="s">
        <v>477</v>
      </c>
      <c r="F48" s="660">
        <v>609.3</v>
      </c>
      <c r="G48" s="660">
        <f>60018.4+10353.4</f>
        <v>70371.8</v>
      </c>
      <c r="H48" s="660">
        <f>1991.4+958.6+1887.5+3175.6</f>
        <v>8013.1</v>
      </c>
      <c r="I48" s="660"/>
      <c r="J48" s="660"/>
      <c r="K48" s="660"/>
      <c r="L48" s="660"/>
      <c r="M48" s="660"/>
      <c r="N48" s="660"/>
      <c r="O48" s="660"/>
      <c r="P48" s="660"/>
      <c r="Q48" s="654">
        <f>G48+H48+I48+J48+K48+L48+M48+N48+O48+P48</f>
        <v>78384.90000000001</v>
      </c>
    </row>
    <row r="49" spans="1:17" ht="56.25">
      <c r="A49" s="679">
        <v>4</v>
      </c>
      <c r="B49" s="667">
        <v>4</v>
      </c>
      <c r="C49" s="671" t="s">
        <v>225</v>
      </c>
      <c r="D49" s="663"/>
      <c r="E49" s="658" t="s">
        <v>478</v>
      </c>
      <c r="F49" s="660">
        <v>515</v>
      </c>
      <c r="G49" s="660">
        <f>81401.3+14041.4</f>
        <v>95442.7</v>
      </c>
      <c r="H49" s="660">
        <f>2407.2+2084.4+13513.6+7640</f>
        <v>25645.2</v>
      </c>
      <c r="I49" s="660"/>
      <c r="J49" s="660"/>
      <c r="K49" s="660"/>
      <c r="L49" s="660"/>
      <c r="M49" s="660"/>
      <c r="N49" s="660"/>
      <c r="O49" s="660"/>
      <c r="P49" s="660"/>
      <c r="Q49" s="654">
        <f>G49+H49+I49+J49+K49+L49+M49+N49+O49+P49</f>
        <v>121087.9</v>
      </c>
    </row>
    <row r="50" spans="1:17" ht="33" customHeight="1">
      <c r="A50" s="648"/>
      <c r="B50" s="648"/>
      <c r="C50" s="682" t="s">
        <v>479</v>
      </c>
      <c r="D50" s="657"/>
      <c r="E50" s="661"/>
      <c r="F50" s="68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</row>
    <row r="51" spans="1:17" ht="31.5" customHeight="1">
      <c r="A51" s="679"/>
      <c r="B51" s="683"/>
      <c r="C51" s="684" t="s">
        <v>480</v>
      </c>
      <c r="D51" s="657"/>
      <c r="E51" s="685"/>
      <c r="F51" s="681">
        <f aca="true" t="shared" si="5" ref="F51:P51">F12+F23+F31+F45</f>
        <v>13330.85</v>
      </c>
      <c r="G51" s="661">
        <f>G12+G23+G31+G45</f>
        <v>1065798.7000000002</v>
      </c>
      <c r="H51" s="661">
        <f>H12+H23+H31+H45</f>
        <v>1364279.0999999999</v>
      </c>
      <c r="I51" s="661">
        <f t="shared" si="5"/>
        <v>0</v>
      </c>
      <c r="J51" s="661">
        <f t="shared" si="5"/>
        <v>0</v>
      </c>
      <c r="K51" s="661">
        <f t="shared" si="5"/>
        <v>0</v>
      </c>
      <c r="L51" s="661">
        <f t="shared" si="5"/>
        <v>0</v>
      </c>
      <c r="M51" s="661">
        <f t="shared" si="5"/>
        <v>0</v>
      </c>
      <c r="N51" s="661">
        <f t="shared" si="5"/>
        <v>4228.3</v>
      </c>
      <c r="O51" s="661">
        <f t="shared" si="5"/>
        <v>0</v>
      </c>
      <c r="P51" s="661">
        <f t="shared" si="5"/>
        <v>0</v>
      </c>
      <c r="Q51" s="661">
        <f>Q12+Q23+Q31+Q45</f>
        <v>2434306.1000000006</v>
      </c>
    </row>
    <row r="52" spans="1:17" ht="15.75" customHeight="1">
      <c r="A52" s="686"/>
      <c r="B52" s="686"/>
      <c r="C52" s="686"/>
      <c r="D52" s="686"/>
      <c r="E52" s="686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7"/>
    </row>
    <row r="53" spans="1:17" ht="18.75">
      <c r="A53" s="686"/>
      <c r="B53" s="686"/>
      <c r="C53" s="686"/>
      <c r="D53" s="686"/>
      <c r="E53" s="686"/>
      <c r="F53" s="687"/>
      <c r="G53" s="687"/>
      <c r="H53" s="687"/>
      <c r="I53" s="687"/>
      <c r="J53" s="687"/>
      <c r="K53" s="687"/>
      <c r="L53" s="687"/>
      <c r="M53" s="687"/>
      <c r="N53" s="687"/>
      <c r="O53" s="687"/>
      <c r="P53" s="687"/>
      <c r="Q53" s="687"/>
    </row>
    <row r="54" spans="1:17" ht="18.75">
      <c r="A54" s="686"/>
      <c r="B54" s="686"/>
      <c r="C54" s="688"/>
      <c r="D54" s="688"/>
      <c r="E54" s="688"/>
      <c r="F54" s="688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7"/>
    </row>
    <row r="55" spans="1:17" ht="15.75" customHeight="1">
      <c r="A55" s="686"/>
      <c r="B55" s="686"/>
      <c r="C55" s="688"/>
      <c r="D55" s="688"/>
      <c r="E55" s="688"/>
      <c r="F55" s="688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6"/>
    </row>
    <row r="56" spans="1:17" ht="15.75" customHeight="1">
      <c r="A56" s="686"/>
      <c r="B56" s="686"/>
      <c r="C56" s="481"/>
      <c r="D56" s="481"/>
      <c r="E56" s="481"/>
      <c r="F56" s="481"/>
      <c r="G56" s="686"/>
      <c r="H56" s="686"/>
      <c r="I56" s="686"/>
      <c r="J56" s="686"/>
      <c r="K56" s="686"/>
      <c r="L56" s="686"/>
      <c r="M56" s="686"/>
      <c r="N56" s="686"/>
      <c r="O56" s="686"/>
      <c r="P56" s="686"/>
      <c r="Q56" s="687"/>
    </row>
    <row r="57" spans="1:17" ht="18.75">
      <c r="A57" s="686"/>
      <c r="B57" s="686"/>
      <c r="C57" s="688"/>
      <c r="D57" s="688"/>
      <c r="E57" s="688"/>
      <c r="F57" s="688"/>
      <c r="G57" s="686"/>
      <c r="H57" s="686"/>
      <c r="I57" s="686"/>
      <c r="J57" s="686"/>
      <c r="K57" s="686"/>
      <c r="L57" s="686"/>
      <c r="M57" s="687"/>
      <c r="N57" s="687"/>
      <c r="O57" s="686"/>
      <c r="P57" s="686"/>
      <c r="Q57" s="686"/>
    </row>
    <row r="58" spans="1:17" ht="18.75">
      <c r="A58" s="686"/>
      <c r="B58" s="686"/>
      <c r="C58" s="688"/>
      <c r="D58" s="688"/>
      <c r="E58" s="688"/>
      <c r="F58" s="688"/>
      <c r="G58" s="686"/>
      <c r="H58" s="686"/>
      <c r="I58" s="686"/>
      <c r="J58" s="686"/>
      <c r="K58" s="686"/>
      <c r="L58" s="686"/>
      <c r="M58" s="686"/>
      <c r="N58" s="686"/>
      <c r="O58" s="686"/>
      <c r="P58" s="686"/>
      <c r="Q58" s="686"/>
    </row>
    <row r="59" spans="1:17" ht="18.75">
      <c r="A59" s="686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</row>
    <row r="60" spans="7:8" ht="15.75" customHeight="1">
      <c r="G60" s="370"/>
      <c r="H60" s="370"/>
    </row>
    <row r="61" spans="7:8" ht="15.75" customHeight="1">
      <c r="G61" s="369"/>
      <c r="H61" s="369"/>
    </row>
    <row r="62" spans="6:8" ht="15.75">
      <c r="F62" s="369"/>
      <c r="G62" s="369"/>
      <c r="H62" s="369"/>
    </row>
    <row r="63" spans="6:8" ht="15.75">
      <c r="F63" s="369"/>
      <c r="G63" s="371"/>
      <c r="H63" s="371"/>
    </row>
    <row r="64" spans="6:8" ht="15.75">
      <c r="F64" s="369"/>
      <c r="G64" s="369"/>
      <c r="H64" s="369"/>
    </row>
    <row r="66" ht="15.75" customHeight="1"/>
    <row r="67" ht="15.75" customHeight="1"/>
  </sheetData>
  <sheetProtection/>
  <mergeCells count="9">
    <mergeCell ref="A6:Q6"/>
    <mergeCell ref="A7:Q7"/>
    <mergeCell ref="A8:Q8"/>
    <mergeCell ref="A9:Q9"/>
    <mergeCell ref="A1:C1"/>
    <mergeCell ref="K1:Q1"/>
    <mergeCell ref="K2:Q2"/>
    <mergeCell ref="K3:Q3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8" sqref="A8:IV57"/>
    </sheetView>
  </sheetViews>
  <sheetFormatPr defaultColWidth="9.140625" defaultRowHeight="12.75"/>
  <cols>
    <col min="1" max="2" width="5.28125" style="366" customWidth="1"/>
    <col min="3" max="3" width="40.140625" style="366" customWidth="1"/>
    <col min="4" max="4" width="11.421875" style="366" hidden="1" customWidth="1"/>
    <col min="5" max="5" width="22.28125" style="366" customWidth="1"/>
    <col min="6" max="6" width="10.7109375" style="366" customWidth="1"/>
    <col min="7" max="7" width="15.28125" style="366" customWidth="1"/>
    <col min="8" max="8" width="13.7109375" style="366" customWidth="1"/>
    <col min="9" max="12" width="7.7109375" style="366" hidden="1" customWidth="1"/>
    <col min="13" max="13" width="8.00390625" style="366" hidden="1" customWidth="1"/>
    <col min="14" max="14" width="10.421875" style="366" customWidth="1"/>
    <col min="15" max="15" width="9.140625" style="366" hidden="1" customWidth="1"/>
    <col min="16" max="16" width="9.57421875" style="366" hidden="1" customWidth="1"/>
    <col min="17" max="17" width="12.421875" style="375" customWidth="1"/>
    <col min="18" max="210" width="8.8515625" style="366" customWidth="1"/>
    <col min="211" max="211" width="51.00390625" style="366" customWidth="1"/>
    <col min="212" max="212" width="0" style="366" hidden="1" customWidth="1"/>
    <col min="213" max="213" width="10.421875" style="366" customWidth="1"/>
    <col min="214" max="214" width="7.00390625" style="366" customWidth="1"/>
    <col min="215" max="215" width="8.28125" style="366" customWidth="1"/>
    <col min="216" max="216" width="7.7109375" style="366" customWidth="1"/>
    <col min="217" max="217" width="8.00390625" style="366" customWidth="1"/>
    <col min="218" max="218" width="8.140625" style="366" customWidth="1"/>
    <col min="219" max="219" width="7.421875" style="366" customWidth="1"/>
    <col min="220" max="220" width="8.140625" style="366" customWidth="1"/>
    <col min="221" max="221" width="7.7109375" style="366" customWidth="1"/>
    <col min="222" max="222" width="8.421875" style="366" customWidth="1"/>
    <col min="223" max="224" width="7.7109375" style="366" customWidth="1"/>
    <col min="225" max="225" width="7.8515625" style="366" customWidth="1"/>
    <col min="226" max="226" width="7.28125" style="366" customWidth="1"/>
    <col min="227" max="227" width="8.57421875" style="366" customWidth="1"/>
    <col min="228" max="228" width="7.8515625" style="366" customWidth="1"/>
    <col min="229" max="229" width="7.57421875" style="366" customWidth="1"/>
    <col min="230" max="231" width="7.8515625" style="366" customWidth="1"/>
    <col min="232" max="232" width="7.28125" style="366" customWidth="1"/>
    <col min="233" max="233" width="8.00390625" style="366" customWidth="1"/>
    <col min="234" max="234" width="6.8515625" style="366" customWidth="1"/>
    <col min="235" max="16384" width="8.8515625" style="366" customWidth="1"/>
  </cols>
  <sheetData>
    <row r="1" spans="1:17" ht="18" customHeight="1">
      <c r="A1" s="372"/>
      <c r="B1" s="373"/>
      <c r="C1" s="373"/>
      <c r="D1" s="365"/>
      <c r="E1" s="365"/>
      <c r="F1" s="365"/>
      <c r="G1" s="365"/>
      <c r="H1" s="365"/>
      <c r="I1" s="365"/>
      <c r="J1" s="365"/>
      <c r="K1" s="1138"/>
      <c r="L1" s="1138"/>
      <c r="M1" s="1138"/>
      <c r="N1" s="1138"/>
      <c r="O1" s="1138"/>
      <c r="P1" s="1138"/>
      <c r="Q1" s="1138"/>
    </row>
    <row r="2" spans="1:17" ht="19.5" customHeight="1">
      <c r="A2" s="372"/>
      <c r="B2" s="373"/>
      <c r="C2" s="373"/>
      <c r="D2" s="365"/>
      <c r="E2" s="365"/>
      <c r="F2" s="365"/>
      <c r="G2" s="365"/>
      <c r="H2" s="365"/>
      <c r="I2" s="365"/>
      <c r="J2" s="365"/>
      <c r="K2" s="1138"/>
      <c r="L2" s="1138"/>
      <c r="M2" s="1138"/>
      <c r="N2" s="1138"/>
      <c r="O2" s="1138"/>
      <c r="P2" s="1138"/>
      <c r="Q2" s="1138"/>
    </row>
    <row r="3" spans="3:17" ht="13.5" customHeight="1">
      <c r="C3" s="365"/>
      <c r="D3" s="365"/>
      <c r="E3" s="365"/>
      <c r="F3" s="365"/>
      <c r="G3" s="365"/>
      <c r="H3" s="365"/>
      <c r="I3" s="365"/>
      <c r="J3" s="365"/>
      <c r="K3" s="368"/>
      <c r="L3" s="368"/>
      <c r="M3" s="368"/>
      <c r="N3" s="368"/>
      <c r="O3" s="368"/>
      <c r="P3" s="368"/>
      <c r="Q3" s="374"/>
    </row>
    <row r="4" spans="1:17" ht="17.25" customHeight="1">
      <c r="A4" s="991" t="s">
        <v>481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</row>
    <row r="5" spans="1:17" ht="15" customHeight="1">
      <c r="A5" s="991" t="s">
        <v>517</v>
      </c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</row>
    <row r="6" spans="1:17" s="256" customFormat="1" ht="15.75">
      <c r="A6" s="1134" t="s">
        <v>437</v>
      </c>
      <c r="B6" s="1134"/>
      <c r="C6" s="1134"/>
      <c r="D6" s="1134"/>
      <c r="E6" s="1134"/>
      <c r="F6" s="1134"/>
      <c r="G6" s="1134"/>
      <c r="H6" s="1134"/>
      <c r="I6" s="1134"/>
      <c r="J6" s="1134"/>
      <c r="K6" s="1134"/>
      <c r="L6" s="1134"/>
      <c r="M6" s="1134"/>
      <c r="N6" s="1134"/>
      <c r="O6" s="1134"/>
      <c r="P6" s="1134"/>
      <c r="Q6" s="1134"/>
    </row>
    <row r="7" spans="1:17" ht="15.75">
      <c r="A7" s="375"/>
      <c r="C7" s="1139"/>
      <c r="D7" s="1139"/>
      <c r="E7" s="1139"/>
      <c r="F7" s="1139"/>
      <c r="G7" s="1139"/>
      <c r="H7" s="1139"/>
      <c r="I7" s="1139"/>
      <c r="J7" s="1139"/>
      <c r="K7" s="1139"/>
      <c r="L7" s="1139"/>
      <c r="M7" s="1139"/>
      <c r="N7" s="1139"/>
      <c r="O7" s="1139"/>
      <c r="P7" s="1139"/>
      <c r="Q7" s="376"/>
    </row>
    <row r="8" spans="1:17" s="639" customFormat="1" ht="114">
      <c r="A8" s="629" t="s">
        <v>4</v>
      </c>
      <c r="B8" s="629" t="s">
        <v>5</v>
      </c>
      <c r="C8" s="689" t="s">
        <v>7</v>
      </c>
      <c r="D8" s="690" t="s">
        <v>438</v>
      </c>
      <c r="E8" s="630" t="s">
        <v>439</v>
      </c>
      <c r="F8" s="630" t="s">
        <v>440</v>
      </c>
      <c r="G8" s="631" t="s">
        <v>441</v>
      </c>
      <c r="H8" s="631" t="s">
        <v>442</v>
      </c>
      <c r="I8" s="631" t="s">
        <v>443</v>
      </c>
      <c r="J8" s="631" t="s">
        <v>444</v>
      </c>
      <c r="K8" s="631" t="s">
        <v>445</v>
      </c>
      <c r="L8" s="631" t="s">
        <v>446</v>
      </c>
      <c r="M8" s="631" t="s">
        <v>447</v>
      </c>
      <c r="N8" s="631" t="s">
        <v>448</v>
      </c>
      <c r="O8" s="631" t="s">
        <v>449</v>
      </c>
      <c r="P8" s="631" t="s">
        <v>450</v>
      </c>
      <c r="Q8" s="630" t="s">
        <v>259</v>
      </c>
    </row>
    <row r="9" spans="1:17" s="639" customFormat="1" ht="12.75">
      <c r="A9" s="691"/>
      <c r="B9" s="692"/>
      <c r="C9" s="693"/>
      <c r="D9" s="694"/>
      <c r="E9" s="694"/>
      <c r="F9" s="694"/>
      <c r="G9" s="695">
        <v>211</v>
      </c>
      <c r="H9" s="695">
        <v>222</v>
      </c>
      <c r="I9" s="695">
        <v>24</v>
      </c>
      <c r="J9" s="695">
        <v>25</v>
      </c>
      <c r="K9" s="695">
        <v>26</v>
      </c>
      <c r="L9" s="695">
        <v>27</v>
      </c>
      <c r="M9" s="695">
        <v>28</v>
      </c>
      <c r="N9" s="695">
        <v>31</v>
      </c>
      <c r="O9" s="695">
        <v>32</v>
      </c>
      <c r="P9" s="695">
        <v>33</v>
      </c>
      <c r="Q9" s="696"/>
    </row>
    <row r="10" spans="1:17" s="639" customFormat="1" ht="12.75">
      <c r="A10" s="697">
        <v>1</v>
      </c>
      <c r="B10" s="698"/>
      <c r="C10" s="699" t="s">
        <v>482</v>
      </c>
      <c r="D10" s="698"/>
      <c r="E10" s="698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</row>
    <row r="11" spans="1:17" s="639" customFormat="1" ht="12.75">
      <c r="A11" s="701">
        <v>1</v>
      </c>
      <c r="B11" s="702">
        <v>1</v>
      </c>
      <c r="C11" s="703" t="s">
        <v>35</v>
      </c>
      <c r="D11" s="704" t="e">
        <v>#REF!</v>
      </c>
      <c r="E11" s="377" t="s">
        <v>24</v>
      </c>
      <c r="F11" s="705">
        <v>11</v>
      </c>
      <c r="G11" s="706"/>
      <c r="H11" s="706"/>
      <c r="I11" s="706"/>
      <c r="J11" s="706"/>
      <c r="K11" s="706"/>
      <c r="L11" s="706"/>
      <c r="M11" s="707"/>
      <c r="N11" s="707"/>
      <c r="O11" s="707"/>
      <c r="P11" s="707"/>
      <c r="Q11" s="708">
        <f>SUM(G11:P11)</f>
        <v>0</v>
      </c>
    </row>
    <row r="12" spans="1:17" s="639" customFormat="1" ht="25.5">
      <c r="A12" s="701">
        <v>1</v>
      </c>
      <c r="B12" s="702">
        <v>2</v>
      </c>
      <c r="C12" s="709" t="s">
        <v>39</v>
      </c>
      <c r="D12" s="710" t="e">
        <v>#REF!</v>
      </c>
      <c r="E12" s="377" t="s">
        <v>40</v>
      </c>
      <c r="F12" s="705">
        <v>10</v>
      </c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08">
        <f aca="true" t="shared" si="0" ref="Q12:Q20">SUM(G12:P12)</f>
        <v>0</v>
      </c>
    </row>
    <row r="13" spans="1:17" s="639" customFormat="1" ht="25.5">
      <c r="A13" s="701">
        <v>1</v>
      </c>
      <c r="B13" s="702">
        <v>3</v>
      </c>
      <c r="C13" s="709" t="s">
        <v>47</v>
      </c>
      <c r="D13" s="712" t="e">
        <v>#REF!</v>
      </c>
      <c r="E13" s="377" t="s">
        <v>48</v>
      </c>
      <c r="F13" s="705">
        <v>8</v>
      </c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08">
        <f t="shared" si="0"/>
        <v>0</v>
      </c>
    </row>
    <row r="14" spans="1:17" s="639" customFormat="1" ht="12.75">
      <c r="A14" s="701">
        <v>1</v>
      </c>
      <c r="B14" s="702">
        <v>4</v>
      </c>
      <c r="C14" s="709" t="s">
        <v>52</v>
      </c>
      <c r="D14" s="712" t="e">
        <v>#REF!</v>
      </c>
      <c r="E14" s="377" t="s">
        <v>53</v>
      </c>
      <c r="F14" s="705">
        <v>4</v>
      </c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08">
        <f t="shared" si="0"/>
        <v>0</v>
      </c>
    </row>
    <row r="15" spans="1:17" s="639" customFormat="1" ht="38.25">
      <c r="A15" s="701">
        <v>1</v>
      </c>
      <c r="B15" s="702">
        <v>5</v>
      </c>
      <c r="C15" s="709" t="s">
        <v>57</v>
      </c>
      <c r="D15" s="712"/>
      <c r="E15" s="377" t="s">
        <v>58</v>
      </c>
      <c r="F15" s="705">
        <v>4</v>
      </c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08">
        <f t="shared" si="0"/>
        <v>0</v>
      </c>
    </row>
    <row r="16" spans="1:17" s="639" customFormat="1" ht="25.5">
      <c r="A16" s="701">
        <v>1</v>
      </c>
      <c r="B16" s="702">
        <v>6</v>
      </c>
      <c r="C16" s="636" t="s">
        <v>61</v>
      </c>
      <c r="D16" s="712"/>
      <c r="E16" s="377" t="s">
        <v>62</v>
      </c>
      <c r="F16" s="705">
        <v>6</v>
      </c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08">
        <f t="shared" si="0"/>
        <v>0</v>
      </c>
    </row>
    <row r="17" spans="1:17" s="639" customFormat="1" ht="38.25">
      <c r="A17" s="701">
        <v>1</v>
      </c>
      <c r="B17" s="702">
        <v>7</v>
      </c>
      <c r="C17" s="636" t="s">
        <v>66</v>
      </c>
      <c r="D17" s="712"/>
      <c r="E17" s="377" t="s">
        <v>67</v>
      </c>
      <c r="F17" s="705">
        <v>10</v>
      </c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08">
        <f t="shared" si="0"/>
        <v>0</v>
      </c>
    </row>
    <row r="18" spans="1:17" s="639" customFormat="1" ht="12.75">
      <c r="A18" s="701">
        <v>1</v>
      </c>
      <c r="B18" s="702">
        <v>8</v>
      </c>
      <c r="C18" s="636" t="s">
        <v>71</v>
      </c>
      <c r="D18" s="712"/>
      <c r="E18" s="377" t="s">
        <v>369</v>
      </c>
      <c r="F18" s="705">
        <v>237</v>
      </c>
      <c r="G18" s="713"/>
      <c r="H18" s="713">
        <f>300</f>
        <v>300</v>
      </c>
      <c r="I18" s="713"/>
      <c r="J18" s="713"/>
      <c r="K18" s="713"/>
      <c r="L18" s="713"/>
      <c r="M18" s="713"/>
      <c r="N18" s="713"/>
      <c r="O18" s="713"/>
      <c r="P18" s="713"/>
      <c r="Q18" s="708">
        <f t="shared" si="0"/>
        <v>300</v>
      </c>
    </row>
    <row r="19" spans="1:17" s="639" customFormat="1" ht="25.5">
      <c r="A19" s="701">
        <v>1</v>
      </c>
      <c r="B19" s="702">
        <v>9</v>
      </c>
      <c r="C19" s="636" t="s">
        <v>75</v>
      </c>
      <c r="D19" s="712"/>
      <c r="E19" s="377" t="s">
        <v>76</v>
      </c>
      <c r="F19" s="705">
        <v>4</v>
      </c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08">
        <f t="shared" si="0"/>
        <v>0</v>
      </c>
    </row>
    <row r="20" spans="1:17" s="639" customFormat="1" ht="25.5">
      <c r="A20" s="701">
        <v>1</v>
      </c>
      <c r="B20" s="702">
        <v>10</v>
      </c>
      <c r="C20" s="636" t="s">
        <v>452</v>
      </c>
      <c r="D20" s="712"/>
      <c r="E20" s="377" t="s">
        <v>453</v>
      </c>
      <c r="F20" s="705">
        <v>119.5</v>
      </c>
      <c r="G20" s="713">
        <f>360+62.1+2500+432</f>
        <v>3354.1</v>
      </c>
      <c r="H20" s="713">
        <f>90+287.9+3625+1299</f>
        <v>5301.9</v>
      </c>
      <c r="I20" s="713"/>
      <c r="J20" s="713"/>
      <c r="K20" s="713"/>
      <c r="L20" s="713"/>
      <c r="M20" s="713"/>
      <c r="N20" s="713">
        <v>144</v>
      </c>
      <c r="O20" s="713"/>
      <c r="P20" s="713"/>
      <c r="Q20" s="708">
        <f t="shared" si="0"/>
        <v>8800</v>
      </c>
    </row>
    <row r="21" spans="1:17" s="719" customFormat="1" ht="12.75">
      <c r="A21" s="714"/>
      <c r="B21" s="715"/>
      <c r="C21" s="715" t="s">
        <v>479</v>
      </c>
      <c r="D21" s="710"/>
      <c r="E21" s="710"/>
      <c r="F21" s="716">
        <f>SUM(F11:F20)</f>
        <v>413.5</v>
      </c>
      <c r="G21" s="717">
        <f>SUM(G11:G20)</f>
        <v>3354.1</v>
      </c>
      <c r="H21" s="717">
        <f>SUM(H11:H20)</f>
        <v>5601.9</v>
      </c>
      <c r="I21" s="717">
        <f aca="true" t="shared" si="1" ref="I21:Q21">SUM(I11:I20)</f>
        <v>0</v>
      </c>
      <c r="J21" s="717">
        <f t="shared" si="1"/>
        <v>0</v>
      </c>
      <c r="K21" s="717">
        <f t="shared" si="1"/>
        <v>0</v>
      </c>
      <c r="L21" s="717">
        <f t="shared" si="1"/>
        <v>0</v>
      </c>
      <c r="M21" s="717">
        <f t="shared" si="1"/>
        <v>0</v>
      </c>
      <c r="N21" s="717">
        <f t="shared" si="1"/>
        <v>144</v>
      </c>
      <c r="O21" s="717">
        <f t="shared" si="1"/>
        <v>0</v>
      </c>
      <c r="P21" s="717">
        <f t="shared" si="1"/>
        <v>0</v>
      </c>
      <c r="Q21" s="718">
        <f t="shared" si="1"/>
        <v>9100</v>
      </c>
    </row>
    <row r="22" spans="1:17" s="639" customFormat="1" ht="12.75">
      <c r="A22" s="720">
        <v>2</v>
      </c>
      <c r="B22" s="704"/>
      <c r="C22" s="721" t="s">
        <v>248</v>
      </c>
      <c r="D22" s="712"/>
      <c r="E22" s="712"/>
      <c r="F22" s="705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08"/>
    </row>
    <row r="23" spans="1:17" s="639" customFormat="1" ht="51">
      <c r="A23" s="722">
        <v>2</v>
      </c>
      <c r="B23" s="702">
        <v>1</v>
      </c>
      <c r="C23" s="723" t="s">
        <v>91</v>
      </c>
      <c r="D23" s="712"/>
      <c r="E23" s="377" t="s">
        <v>454</v>
      </c>
      <c r="F23" s="705">
        <v>6757</v>
      </c>
      <c r="G23" s="724">
        <v>49712.7</v>
      </c>
      <c r="H23" s="713">
        <v>112824.4</v>
      </c>
      <c r="I23" s="713"/>
      <c r="J23" s="713"/>
      <c r="K23" s="713"/>
      <c r="L23" s="713"/>
      <c r="M23" s="713"/>
      <c r="N23" s="713"/>
      <c r="O23" s="713"/>
      <c r="P23" s="713"/>
      <c r="Q23" s="708">
        <f aca="true" t="shared" si="2" ref="Q23:Q29">SUM(G23:P23)</f>
        <v>162537.09999999998</v>
      </c>
    </row>
    <row r="24" spans="1:17" s="639" customFormat="1" ht="25.5">
      <c r="A24" s="701">
        <v>2</v>
      </c>
      <c r="B24" s="702">
        <v>2</v>
      </c>
      <c r="C24" s="636" t="s">
        <v>103</v>
      </c>
      <c r="D24" s="712"/>
      <c r="E24" s="377" t="s">
        <v>455</v>
      </c>
      <c r="F24" s="705">
        <v>16</v>
      </c>
      <c r="G24" s="725">
        <f>500+86.4+861+148.5</f>
        <v>1595.9</v>
      </c>
      <c r="H24" s="713">
        <f>13500+3665.3+2000+1500</f>
        <v>20665.3</v>
      </c>
      <c r="I24" s="713"/>
      <c r="J24" s="713"/>
      <c r="K24" s="713"/>
      <c r="L24" s="713"/>
      <c r="M24" s="713"/>
      <c r="N24" s="713">
        <v>490.5</v>
      </c>
      <c r="O24" s="713"/>
      <c r="P24" s="713"/>
      <c r="Q24" s="708">
        <f t="shared" si="2"/>
        <v>22751.7</v>
      </c>
    </row>
    <row r="25" spans="1:17" s="639" customFormat="1" ht="25.5">
      <c r="A25" s="701">
        <v>2</v>
      </c>
      <c r="B25" s="702">
        <v>3</v>
      </c>
      <c r="C25" s="723" t="s">
        <v>112</v>
      </c>
      <c r="D25" s="712"/>
      <c r="E25" s="377" t="s">
        <v>456</v>
      </c>
      <c r="F25" s="705">
        <v>83</v>
      </c>
      <c r="G25" s="726"/>
      <c r="H25" s="713">
        <f>399+90+34.5</f>
        <v>523.5</v>
      </c>
      <c r="I25" s="713"/>
      <c r="J25" s="713"/>
      <c r="K25" s="713"/>
      <c r="L25" s="713"/>
      <c r="M25" s="713"/>
      <c r="N25" s="713"/>
      <c r="O25" s="713"/>
      <c r="P25" s="713"/>
      <c r="Q25" s="708">
        <f t="shared" si="2"/>
        <v>523.5</v>
      </c>
    </row>
    <row r="26" spans="1:17" s="639" customFormat="1" ht="38.25">
      <c r="A26" s="701">
        <v>2</v>
      </c>
      <c r="B26" s="702">
        <v>4</v>
      </c>
      <c r="C26" s="723" t="s">
        <v>457</v>
      </c>
      <c r="D26" s="712"/>
      <c r="E26" s="377" t="s">
        <v>458</v>
      </c>
      <c r="F26" s="705">
        <v>275</v>
      </c>
      <c r="G26" s="726">
        <f>27531.2+4652.2</f>
        <v>32183.4</v>
      </c>
      <c r="H26" s="713">
        <f>32722.4+6674+257.4</f>
        <v>39653.8</v>
      </c>
      <c r="I26" s="713"/>
      <c r="J26" s="713"/>
      <c r="K26" s="713"/>
      <c r="L26" s="713"/>
      <c r="M26" s="713"/>
      <c r="N26" s="713">
        <v>1970</v>
      </c>
      <c r="O26" s="713"/>
      <c r="P26" s="713"/>
      <c r="Q26" s="708">
        <f t="shared" si="2"/>
        <v>73807.20000000001</v>
      </c>
    </row>
    <row r="27" spans="1:17" s="639" customFormat="1" ht="63.75">
      <c r="A27" s="701">
        <v>2</v>
      </c>
      <c r="B27" s="702">
        <v>5</v>
      </c>
      <c r="C27" s="634" t="s">
        <v>127</v>
      </c>
      <c r="D27" s="633"/>
      <c r="E27" s="635" t="s">
        <v>128</v>
      </c>
      <c r="F27" s="705"/>
      <c r="G27" s="726"/>
      <c r="H27" s="713"/>
      <c r="I27" s="713"/>
      <c r="J27" s="713"/>
      <c r="K27" s="713"/>
      <c r="L27" s="713"/>
      <c r="M27" s="713"/>
      <c r="N27" s="713"/>
      <c r="O27" s="713"/>
      <c r="P27" s="713"/>
      <c r="Q27" s="708">
        <f t="shared" si="2"/>
        <v>0</v>
      </c>
    </row>
    <row r="28" spans="1:17" s="639" customFormat="1" ht="51">
      <c r="A28" s="701">
        <v>2</v>
      </c>
      <c r="B28" s="702">
        <v>6</v>
      </c>
      <c r="C28" s="636" t="s">
        <v>135</v>
      </c>
      <c r="D28" s="712"/>
      <c r="E28" s="377" t="s">
        <v>459</v>
      </c>
      <c r="F28" s="705">
        <v>132.75</v>
      </c>
      <c r="G28" s="726">
        <f>460+85.1</f>
        <v>545.1</v>
      </c>
      <c r="H28" s="713">
        <f>1608+180+50+480</f>
        <v>2318</v>
      </c>
      <c r="I28" s="713"/>
      <c r="J28" s="713"/>
      <c r="K28" s="713"/>
      <c r="L28" s="713"/>
      <c r="M28" s="713"/>
      <c r="N28" s="713"/>
      <c r="O28" s="713"/>
      <c r="P28" s="713"/>
      <c r="Q28" s="708">
        <f t="shared" si="2"/>
        <v>2863.1</v>
      </c>
    </row>
    <row r="29" spans="1:17" s="639" customFormat="1" ht="38.25">
      <c r="A29" s="701">
        <v>2</v>
      </c>
      <c r="B29" s="702">
        <v>7</v>
      </c>
      <c r="C29" s="636" t="s">
        <v>139</v>
      </c>
      <c r="D29" s="712"/>
      <c r="E29" s="377" t="s">
        <v>460</v>
      </c>
      <c r="F29" s="705">
        <v>71.5</v>
      </c>
      <c r="G29" s="726">
        <f>3453+595.5</f>
        <v>4048.5</v>
      </c>
      <c r="H29" s="713">
        <f>4138.3+752.5+300</f>
        <v>5190.8</v>
      </c>
      <c r="I29" s="713"/>
      <c r="J29" s="713"/>
      <c r="K29" s="713"/>
      <c r="L29" s="713"/>
      <c r="M29" s="713"/>
      <c r="N29" s="713">
        <f>400</f>
        <v>400</v>
      </c>
      <c r="O29" s="713"/>
      <c r="P29" s="713"/>
      <c r="Q29" s="708">
        <f t="shared" si="2"/>
        <v>9639.3</v>
      </c>
    </row>
    <row r="30" spans="1:17" s="639" customFormat="1" ht="12.75">
      <c r="A30" s="701"/>
      <c r="B30" s="702"/>
      <c r="C30" s="715" t="s">
        <v>483</v>
      </c>
      <c r="D30" s="712"/>
      <c r="E30" s="712"/>
      <c r="F30" s="727">
        <f>SUM(F23:F29)</f>
        <v>7335.25</v>
      </c>
      <c r="G30" s="711">
        <f aca="true" t="shared" si="3" ref="G30:M30">SUM(G23:G29)</f>
        <v>88085.6</v>
      </c>
      <c r="H30" s="711">
        <f t="shared" si="3"/>
        <v>181175.8</v>
      </c>
      <c r="I30" s="711">
        <f t="shared" si="3"/>
        <v>0</v>
      </c>
      <c r="J30" s="711">
        <f t="shared" si="3"/>
        <v>0</v>
      </c>
      <c r="K30" s="711">
        <f t="shared" si="3"/>
        <v>0</v>
      </c>
      <c r="L30" s="711">
        <f t="shared" si="3"/>
        <v>0</v>
      </c>
      <c r="M30" s="711">
        <f t="shared" si="3"/>
        <v>0</v>
      </c>
      <c r="N30" s="711">
        <f>SUM(N23:N29)</f>
        <v>2860.5</v>
      </c>
      <c r="O30" s="711">
        <f>SUM(O23:O29)</f>
        <v>0</v>
      </c>
      <c r="P30" s="711">
        <f>SUM(P23:P29)</f>
        <v>0</v>
      </c>
      <c r="Q30" s="708">
        <f>SUM(Q23:Q29)</f>
        <v>272121.89999999997</v>
      </c>
    </row>
    <row r="31" spans="1:17" s="639" customFormat="1" ht="25.5">
      <c r="A31" s="728"/>
      <c r="B31" s="729"/>
      <c r="C31" s="636" t="s">
        <v>532</v>
      </c>
      <c r="D31" s="712"/>
      <c r="E31" s="712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08"/>
    </row>
    <row r="32" spans="1:17" s="639" customFormat="1" ht="38.25">
      <c r="A32" s="701">
        <v>3</v>
      </c>
      <c r="B32" s="702">
        <v>1</v>
      </c>
      <c r="C32" s="636" t="s">
        <v>484</v>
      </c>
      <c r="D32" s="712"/>
      <c r="E32" s="377" t="s">
        <v>485</v>
      </c>
      <c r="F32" s="377">
        <f>13+554</f>
        <v>567</v>
      </c>
      <c r="G32" s="713">
        <f>1342.6+184.6+1000+175.2</f>
        <v>2702.3999999999996</v>
      </c>
      <c r="H32" s="713">
        <f>3011.7+1478.3+138.9+1878+800+497</f>
        <v>7803.9</v>
      </c>
      <c r="I32" s="713"/>
      <c r="J32" s="713"/>
      <c r="K32" s="713"/>
      <c r="L32" s="713"/>
      <c r="M32" s="713"/>
      <c r="N32" s="713">
        <f>1543.9+1000</f>
        <v>2543.9</v>
      </c>
      <c r="O32" s="713"/>
      <c r="P32" s="713"/>
      <c r="Q32" s="708">
        <f aca="true" t="shared" si="4" ref="Q32:Q44">SUM(G32:P32)</f>
        <v>13050.199999999999</v>
      </c>
    </row>
    <row r="33" spans="1:17" s="639" customFormat="1" ht="51">
      <c r="A33" s="701">
        <v>3</v>
      </c>
      <c r="B33" s="702">
        <v>2</v>
      </c>
      <c r="C33" s="636" t="s">
        <v>486</v>
      </c>
      <c r="D33" s="712"/>
      <c r="E33" s="377" t="s">
        <v>463</v>
      </c>
      <c r="F33" s="377">
        <v>92.5</v>
      </c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08">
        <f t="shared" si="4"/>
        <v>0</v>
      </c>
    </row>
    <row r="34" spans="1:17" s="639" customFormat="1" ht="38.25">
      <c r="A34" s="701">
        <v>3</v>
      </c>
      <c r="B34" s="702">
        <v>3</v>
      </c>
      <c r="C34" s="723" t="s">
        <v>464</v>
      </c>
      <c r="D34" s="712"/>
      <c r="E34" s="377" t="s">
        <v>465</v>
      </c>
      <c r="F34" s="377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08">
        <f t="shared" si="4"/>
        <v>0</v>
      </c>
    </row>
    <row r="35" spans="1:17" s="639" customFormat="1" ht="51">
      <c r="A35" s="701">
        <v>3</v>
      </c>
      <c r="B35" s="702">
        <v>4</v>
      </c>
      <c r="C35" s="636" t="s">
        <v>164</v>
      </c>
      <c r="D35" s="712"/>
      <c r="E35" s="377" t="s">
        <v>466</v>
      </c>
      <c r="F35" s="377">
        <v>119</v>
      </c>
      <c r="G35" s="730">
        <f>56000+9660</f>
        <v>65660</v>
      </c>
      <c r="H35" s="713">
        <f>30000+20000+1566.6+3390</f>
        <v>54956.6</v>
      </c>
      <c r="I35" s="713"/>
      <c r="J35" s="713"/>
      <c r="K35" s="713"/>
      <c r="L35" s="713"/>
      <c r="M35" s="713"/>
      <c r="N35" s="713">
        <f>24785.7</f>
        <v>24785.7</v>
      </c>
      <c r="O35" s="713"/>
      <c r="P35" s="713"/>
      <c r="Q35" s="708">
        <f t="shared" si="4"/>
        <v>145402.30000000002</v>
      </c>
    </row>
    <row r="36" spans="1:17" s="639" customFormat="1" ht="25.5">
      <c r="A36" s="701">
        <v>3</v>
      </c>
      <c r="B36" s="702">
        <v>5</v>
      </c>
      <c r="C36" s="731" t="s">
        <v>514</v>
      </c>
      <c r="D36" s="712"/>
      <c r="E36" s="377" t="s">
        <v>467</v>
      </c>
      <c r="F36" s="377">
        <v>389</v>
      </c>
      <c r="G36" s="713">
        <f>15068.5+2597.8</f>
        <v>17666.3</v>
      </c>
      <c r="H36" s="713">
        <f>11672.8+10255.6+664-0.8</f>
        <v>22591.600000000002</v>
      </c>
      <c r="I36" s="713"/>
      <c r="J36" s="713"/>
      <c r="K36" s="713"/>
      <c r="L36" s="713"/>
      <c r="M36" s="713"/>
      <c r="N36" s="713">
        <v>3819.5</v>
      </c>
      <c r="O36" s="713"/>
      <c r="P36" s="713"/>
      <c r="Q36" s="708">
        <f t="shared" si="4"/>
        <v>44077.4</v>
      </c>
    </row>
    <row r="37" spans="1:17" s="639" customFormat="1" ht="25.5">
      <c r="A37" s="701">
        <v>3</v>
      </c>
      <c r="B37" s="702">
        <v>6</v>
      </c>
      <c r="C37" s="634" t="s">
        <v>175</v>
      </c>
      <c r="D37" s="712"/>
      <c r="E37" s="377" t="s">
        <v>468</v>
      </c>
      <c r="F37" s="377">
        <v>753.5</v>
      </c>
      <c r="G37" s="713">
        <f>8400+1449.8+3000+534+50+8.6</f>
        <v>13442.4</v>
      </c>
      <c r="H37" s="713">
        <f>3886+4882.2+40+3566.3+350+200+363.4+500+50</f>
        <v>13837.9</v>
      </c>
      <c r="I37" s="713"/>
      <c r="J37" s="713"/>
      <c r="K37" s="713"/>
      <c r="L37" s="713"/>
      <c r="M37" s="713"/>
      <c r="N37" s="713">
        <f>2422+100+100</f>
        <v>2622</v>
      </c>
      <c r="O37" s="713"/>
      <c r="P37" s="713"/>
      <c r="Q37" s="708">
        <f t="shared" si="4"/>
        <v>29902.3</v>
      </c>
    </row>
    <row r="38" spans="1:17" s="639" customFormat="1" ht="25.5">
      <c r="A38" s="701">
        <v>3</v>
      </c>
      <c r="B38" s="702">
        <v>7</v>
      </c>
      <c r="C38" s="723" t="s">
        <v>513</v>
      </c>
      <c r="D38" s="712"/>
      <c r="E38" s="377" t="s">
        <v>469</v>
      </c>
      <c r="F38" s="377">
        <v>988.75</v>
      </c>
      <c r="G38" s="732">
        <f>44960+7755.6+3289+640.7+300+51.9</f>
        <v>56997.2</v>
      </c>
      <c r="H38" s="713">
        <f>30787+7545+11360+8278.8+3164.4+20+1542.4+660+122.7</f>
        <v>63480.3</v>
      </c>
      <c r="I38" s="713"/>
      <c r="J38" s="713"/>
      <c r="K38" s="713"/>
      <c r="L38" s="713"/>
      <c r="M38" s="713"/>
      <c r="N38" s="713">
        <f>9975+3064+117.3</f>
        <v>13156.3</v>
      </c>
      <c r="O38" s="713"/>
      <c r="P38" s="713"/>
      <c r="Q38" s="708">
        <f t="shared" si="4"/>
        <v>133633.8</v>
      </c>
    </row>
    <row r="39" spans="1:17" s="639" customFormat="1" ht="38.25">
      <c r="A39" s="701">
        <v>3</v>
      </c>
      <c r="B39" s="702">
        <v>8</v>
      </c>
      <c r="C39" s="636" t="s">
        <v>470</v>
      </c>
      <c r="D39" s="712"/>
      <c r="E39" s="377" t="s">
        <v>471</v>
      </c>
      <c r="F39" s="377"/>
      <c r="G39" s="733"/>
      <c r="H39" s="733"/>
      <c r="I39" s="713"/>
      <c r="J39" s="713"/>
      <c r="K39" s="713"/>
      <c r="L39" s="713"/>
      <c r="M39" s="713"/>
      <c r="N39" s="713"/>
      <c r="O39" s="713"/>
      <c r="P39" s="713"/>
      <c r="Q39" s="708">
        <f t="shared" si="4"/>
        <v>0</v>
      </c>
    </row>
    <row r="40" spans="1:17" s="639" customFormat="1" ht="76.5">
      <c r="A40" s="701">
        <v>3</v>
      </c>
      <c r="B40" s="702">
        <v>9</v>
      </c>
      <c r="C40" s="636" t="s">
        <v>186</v>
      </c>
      <c r="D40" s="712"/>
      <c r="E40" s="377" t="s">
        <v>473</v>
      </c>
      <c r="F40" s="377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08">
        <f t="shared" si="4"/>
        <v>0</v>
      </c>
    </row>
    <row r="41" spans="1:17" s="639" customFormat="1" ht="38.25">
      <c r="A41" s="701">
        <v>3</v>
      </c>
      <c r="B41" s="702">
        <v>10</v>
      </c>
      <c r="C41" s="723" t="s">
        <v>190</v>
      </c>
      <c r="D41" s="712"/>
      <c r="E41" s="377" t="s">
        <v>487</v>
      </c>
      <c r="F41" s="637">
        <v>497.75</v>
      </c>
      <c r="G41" s="713">
        <f>2420+417.4</f>
        <v>2837.4</v>
      </c>
      <c r="H41" s="713">
        <f>1983.2+1300</f>
        <v>3283.2</v>
      </c>
      <c r="I41" s="713"/>
      <c r="J41" s="713"/>
      <c r="K41" s="713"/>
      <c r="L41" s="713"/>
      <c r="M41" s="713"/>
      <c r="N41" s="713">
        <v>1300</v>
      </c>
      <c r="O41" s="713"/>
      <c r="P41" s="713"/>
      <c r="Q41" s="708">
        <f t="shared" si="4"/>
        <v>7420.6</v>
      </c>
    </row>
    <row r="42" spans="1:17" s="639" customFormat="1" ht="38.25">
      <c r="A42" s="701">
        <v>3</v>
      </c>
      <c r="B42" s="702">
        <v>11</v>
      </c>
      <c r="C42" s="636" t="s">
        <v>195</v>
      </c>
      <c r="D42" s="712"/>
      <c r="E42" s="377" t="s">
        <v>474</v>
      </c>
      <c r="F42" s="377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08">
        <f t="shared" si="4"/>
        <v>0</v>
      </c>
    </row>
    <row r="43" spans="1:17" s="639" customFormat="1" ht="38.25">
      <c r="A43" s="701">
        <v>3</v>
      </c>
      <c r="B43" s="702">
        <v>12</v>
      </c>
      <c r="C43" s="636" t="s">
        <v>197</v>
      </c>
      <c r="D43" s="712"/>
      <c r="E43" s="377" t="s">
        <v>474</v>
      </c>
      <c r="F43" s="377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08">
        <f t="shared" si="4"/>
        <v>0</v>
      </c>
    </row>
    <row r="44" spans="1:17" s="639" customFormat="1" ht="51">
      <c r="A44" s="701">
        <v>3</v>
      </c>
      <c r="B44" s="702">
        <v>13</v>
      </c>
      <c r="C44" s="636" t="s">
        <v>202</v>
      </c>
      <c r="D44" s="712"/>
      <c r="E44" s="377" t="s">
        <v>475</v>
      </c>
      <c r="F44" s="377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08">
        <f t="shared" si="4"/>
        <v>0</v>
      </c>
    </row>
    <row r="45" spans="1:17" s="639" customFormat="1" ht="12.75">
      <c r="A45" s="728"/>
      <c r="B45" s="729"/>
      <c r="C45" s="715" t="s">
        <v>488</v>
      </c>
      <c r="D45" s="712"/>
      <c r="E45" s="712"/>
      <c r="F45" s="711">
        <f>SUM(F32:F44)</f>
        <v>3407.5</v>
      </c>
      <c r="G45" s="734">
        <f aca="true" t="shared" si="5" ref="G45:P45">SUM(G32:G44)</f>
        <v>159305.69999999998</v>
      </c>
      <c r="H45" s="734">
        <f t="shared" si="5"/>
        <v>165953.5</v>
      </c>
      <c r="I45" s="734">
        <f t="shared" si="5"/>
        <v>0</v>
      </c>
      <c r="J45" s="734">
        <f t="shared" si="5"/>
        <v>0</v>
      </c>
      <c r="K45" s="734">
        <f t="shared" si="5"/>
        <v>0</v>
      </c>
      <c r="L45" s="734">
        <f t="shared" si="5"/>
        <v>0</v>
      </c>
      <c r="M45" s="734">
        <f t="shared" si="5"/>
        <v>0</v>
      </c>
      <c r="N45" s="734">
        <f t="shared" si="5"/>
        <v>48227.40000000001</v>
      </c>
      <c r="O45" s="734">
        <f t="shared" si="5"/>
        <v>0</v>
      </c>
      <c r="P45" s="734">
        <f t="shared" si="5"/>
        <v>0</v>
      </c>
      <c r="Q45" s="735">
        <f>SUM(Q32:Q44)</f>
        <v>373486.6</v>
      </c>
    </row>
    <row r="46" spans="1:17" s="639" customFormat="1" ht="25.5">
      <c r="A46" s="722">
        <v>4</v>
      </c>
      <c r="B46" s="702"/>
      <c r="C46" s="721" t="s">
        <v>246</v>
      </c>
      <c r="D46" s="712"/>
      <c r="E46" s="712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08"/>
    </row>
    <row r="47" spans="1:17" s="639" customFormat="1" ht="25.5">
      <c r="A47" s="701">
        <v>4</v>
      </c>
      <c r="B47" s="702">
        <v>1</v>
      </c>
      <c r="C47" s="636" t="s">
        <v>211</v>
      </c>
      <c r="D47" s="712"/>
      <c r="E47" s="377" t="s">
        <v>48</v>
      </c>
      <c r="F47" s="736">
        <v>6</v>
      </c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08">
        <f>SUM(G47:P47)</f>
        <v>0</v>
      </c>
    </row>
    <row r="48" spans="1:17" s="639" customFormat="1" ht="25.5">
      <c r="A48" s="701">
        <v>4</v>
      </c>
      <c r="B48" s="702">
        <v>2</v>
      </c>
      <c r="C48" s="636" t="s">
        <v>216</v>
      </c>
      <c r="D48" s="712"/>
      <c r="E48" s="377" t="s">
        <v>476</v>
      </c>
      <c r="F48" s="736">
        <v>1052.3</v>
      </c>
      <c r="G48" s="713">
        <v>315883.4</v>
      </c>
      <c r="H48" s="713">
        <v>404286.6</v>
      </c>
      <c r="I48" s="713"/>
      <c r="J48" s="713"/>
      <c r="K48" s="713"/>
      <c r="L48" s="713"/>
      <c r="M48" s="713"/>
      <c r="N48" s="713"/>
      <c r="O48" s="713"/>
      <c r="P48" s="713"/>
      <c r="Q48" s="708">
        <f>SUM(G48:P48)</f>
        <v>720170</v>
      </c>
    </row>
    <row r="49" spans="1:17" s="639" customFormat="1" ht="25.5">
      <c r="A49" s="701">
        <v>4</v>
      </c>
      <c r="B49" s="702">
        <v>3</v>
      </c>
      <c r="C49" s="636" t="s">
        <v>219</v>
      </c>
      <c r="D49" s="712"/>
      <c r="E49" s="377" t="s">
        <v>477</v>
      </c>
      <c r="F49" s="736">
        <v>609.3</v>
      </c>
      <c r="G49" s="713">
        <f>39503.4+6818.3</f>
        <v>46321.700000000004</v>
      </c>
      <c r="H49" s="713">
        <f>6440+7525+1500</f>
        <v>15465</v>
      </c>
      <c r="I49" s="713"/>
      <c r="J49" s="713"/>
      <c r="K49" s="713"/>
      <c r="L49" s="713"/>
      <c r="M49" s="713"/>
      <c r="N49" s="713">
        <v>4224.8</v>
      </c>
      <c r="O49" s="713"/>
      <c r="P49" s="713"/>
      <c r="Q49" s="708">
        <f>SUM(G49:P49)</f>
        <v>66011.5</v>
      </c>
    </row>
    <row r="50" spans="1:17" s="639" customFormat="1" ht="25.5">
      <c r="A50" s="701">
        <v>4</v>
      </c>
      <c r="B50" s="702">
        <v>4</v>
      </c>
      <c r="C50" s="636" t="s">
        <v>225</v>
      </c>
      <c r="D50" s="712"/>
      <c r="E50" s="377" t="s">
        <v>478</v>
      </c>
      <c r="F50" s="736">
        <v>515</v>
      </c>
      <c r="G50" s="713">
        <f>70123.8+12113.5</f>
        <v>82237.3</v>
      </c>
      <c r="H50" s="713">
        <f>9983.6+8941.9+8497.2-3390</f>
        <v>24032.7</v>
      </c>
      <c r="I50" s="713"/>
      <c r="J50" s="713"/>
      <c r="K50" s="713"/>
      <c r="L50" s="713"/>
      <c r="M50" s="713"/>
      <c r="N50" s="713">
        <v>5090</v>
      </c>
      <c r="O50" s="713"/>
      <c r="P50" s="713"/>
      <c r="Q50" s="708">
        <f>SUM(G50:P50)</f>
        <v>111360</v>
      </c>
    </row>
    <row r="51" spans="1:17" s="639" customFormat="1" ht="12.75">
      <c r="A51" s="728"/>
      <c r="B51" s="729"/>
      <c r="C51" s="715" t="s">
        <v>489</v>
      </c>
      <c r="D51" s="712"/>
      <c r="E51" s="712"/>
      <c r="F51" s="707">
        <f>SUM(F47:F50)</f>
        <v>2182.6</v>
      </c>
      <c r="G51" s="737">
        <f aca="true" t="shared" si="6" ref="G51:Q51">SUM(G47:G50)</f>
        <v>444442.4</v>
      </c>
      <c r="H51" s="737">
        <f t="shared" si="6"/>
        <v>443784.3</v>
      </c>
      <c r="I51" s="737">
        <f t="shared" si="6"/>
        <v>0</v>
      </c>
      <c r="J51" s="737">
        <f t="shared" si="6"/>
        <v>0</v>
      </c>
      <c r="K51" s="737">
        <f t="shared" si="6"/>
        <v>0</v>
      </c>
      <c r="L51" s="737">
        <f t="shared" si="6"/>
        <v>0</v>
      </c>
      <c r="M51" s="737">
        <f t="shared" si="6"/>
        <v>0</v>
      </c>
      <c r="N51" s="737">
        <f t="shared" si="6"/>
        <v>9314.8</v>
      </c>
      <c r="O51" s="738">
        <f t="shared" si="6"/>
        <v>0</v>
      </c>
      <c r="P51" s="738">
        <f t="shared" si="6"/>
        <v>0</v>
      </c>
      <c r="Q51" s="739">
        <f t="shared" si="6"/>
        <v>897541.5</v>
      </c>
    </row>
    <row r="52" spans="1:17" s="639" customFormat="1" ht="12.75">
      <c r="A52" s="728"/>
      <c r="B52" s="729"/>
      <c r="C52" s="715"/>
      <c r="D52" s="712"/>
      <c r="E52" s="712"/>
      <c r="F52" s="707"/>
      <c r="G52" s="740"/>
      <c r="H52" s="740"/>
      <c r="I52" s="740"/>
      <c r="J52" s="740"/>
      <c r="K52" s="740"/>
      <c r="L52" s="740"/>
      <c r="M52" s="740"/>
      <c r="N52" s="740"/>
      <c r="O52" s="711"/>
      <c r="P52" s="711"/>
      <c r="Q52" s="708"/>
    </row>
    <row r="53" spans="1:17" s="639" customFormat="1" ht="12.75">
      <c r="A53" s="741"/>
      <c r="B53" s="742"/>
      <c r="C53" s="638" t="s">
        <v>479</v>
      </c>
      <c r="D53" s="743"/>
      <c r="E53" s="743"/>
      <c r="F53" s="744">
        <f>F51+F45+F30+F21</f>
        <v>13338.85</v>
      </c>
      <c r="G53" s="744">
        <f>G51+G45+G30+G21</f>
        <v>695187.7999999999</v>
      </c>
      <c r="H53" s="744">
        <f>H51+H45+H30+H21</f>
        <v>796515.5000000001</v>
      </c>
      <c r="I53" s="744">
        <f>I51+I45+I30+I21</f>
        <v>0</v>
      </c>
      <c r="J53" s="744">
        <f>J51+J45+J30+J21</f>
        <v>0</v>
      </c>
      <c r="K53" s="744">
        <f>K51+K45+K30+K21</f>
        <v>0</v>
      </c>
      <c r="L53" s="744">
        <f>L51+L45+L30+L21</f>
        <v>0</v>
      </c>
      <c r="M53" s="744">
        <f>M51+M45+M30+M21</f>
        <v>0</v>
      </c>
      <c r="N53" s="744">
        <f>N51+N45+N30+N21</f>
        <v>60546.70000000001</v>
      </c>
      <c r="O53" s="744">
        <f>O51+O45+O30+O21</f>
        <v>0</v>
      </c>
      <c r="P53" s="744">
        <f>P51+P45+P30+P21</f>
        <v>0</v>
      </c>
      <c r="Q53" s="745">
        <f>Q21+Q30+Q45+Q51</f>
        <v>1552250</v>
      </c>
    </row>
    <row r="54" spans="1:17" s="639" customFormat="1" ht="12.75">
      <c r="A54" s="548"/>
      <c r="B54" s="548"/>
      <c r="C54" s="548"/>
      <c r="D54" s="548"/>
      <c r="E54" s="548"/>
      <c r="F54" s="548"/>
      <c r="G54" s="548"/>
      <c r="H54" s="548"/>
      <c r="J54" s="548"/>
      <c r="K54" s="548"/>
      <c r="L54" s="548"/>
      <c r="M54" s="548"/>
      <c r="N54" s="548"/>
      <c r="O54" s="548"/>
      <c r="P54" s="548"/>
      <c r="Q54" s="746"/>
    </row>
    <row r="55" spans="1:18" s="639" customFormat="1" ht="12.75">
      <c r="A55" s="548"/>
      <c r="B55" s="548"/>
      <c r="C55" s="548"/>
      <c r="D55" s="548"/>
      <c r="E55" s="548"/>
      <c r="F55" s="548"/>
      <c r="G55" s="747"/>
      <c r="H55" s="747"/>
      <c r="I55" s="748"/>
      <c r="J55" s="748"/>
      <c r="K55" s="748"/>
      <c r="L55" s="748"/>
      <c r="M55" s="748"/>
      <c r="N55" s="747"/>
      <c r="O55" s="748"/>
      <c r="P55" s="748"/>
      <c r="Q55" s="748"/>
      <c r="R55" s="748"/>
    </row>
    <row r="56" spans="3:18" s="639" customFormat="1" ht="12.75">
      <c r="C56" s="392"/>
      <c r="D56" s="392"/>
      <c r="E56" s="392"/>
      <c r="F56" s="392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32"/>
      <c r="R56" s="640"/>
    </row>
    <row r="57" spans="3:17" s="639" customFormat="1" ht="12.75">
      <c r="C57" s="392"/>
      <c r="D57" s="392"/>
      <c r="E57" s="392"/>
      <c r="F57" s="392"/>
      <c r="Q57" s="749"/>
    </row>
    <row r="58" spans="3:14" ht="15.75">
      <c r="C58" s="256"/>
      <c r="M58" s="369"/>
      <c r="N58" s="369"/>
    </row>
    <row r="59" ht="15.75">
      <c r="C59" s="265"/>
    </row>
    <row r="60" ht="15.75">
      <c r="C60" s="265"/>
    </row>
    <row r="61" ht="15.75">
      <c r="Q61" s="367"/>
    </row>
    <row r="63" spans="7:14" ht="15.75">
      <c r="G63" s="379"/>
      <c r="H63" s="379"/>
      <c r="N63" s="379"/>
    </row>
    <row r="64" spans="7:17" ht="15.75">
      <c r="G64" s="379"/>
      <c r="H64" s="379"/>
      <c r="N64" s="379"/>
      <c r="Q64" s="380"/>
    </row>
    <row r="69" spans="7:8" ht="15.75">
      <c r="G69" s="379"/>
      <c r="H69" s="379"/>
    </row>
  </sheetData>
  <sheetProtection/>
  <mergeCells count="6">
    <mergeCell ref="A6:Q6"/>
    <mergeCell ref="C7:P7"/>
    <mergeCell ref="K1:Q1"/>
    <mergeCell ref="K2:Q2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Aibek Osmonov</dc:creator>
  <cp:keywords/>
  <dc:description/>
  <cp:lastModifiedBy>Пользователь Windows</cp:lastModifiedBy>
  <cp:lastPrinted>2019-09-12T09:47:59Z</cp:lastPrinted>
  <dcterms:created xsi:type="dcterms:W3CDTF">2019-04-12T09:21:54Z</dcterms:created>
  <dcterms:modified xsi:type="dcterms:W3CDTF">2020-04-14T08:05:07Z</dcterms:modified>
  <cp:category/>
  <cp:version/>
  <cp:contentType/>
  <cp:contentStatus/>
</cp:coreProperties>
</file>